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6.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7.xml" ContentType="application/vnd.openxmlformats-officedocument.drawing+xml"/>
  <Override PartName="/xl/charts/chart17.xml" ContentType="application/vnd.openxmlformats-officedocument.drawingml.chart+xml"/>
  <Override PartName="/xl/drawings/drawing8.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25.xml" ContentType="application/vnd.openxmlformats-officedocument.drawingml.chart+xml"/>
  <Override PartName="/xl/drawings/drawing12.xml" ContentType="application/vnd.openxmlformats-officedocument.drawing+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4.xml" ContentType="application/vnd.openxmlformats-officedocument.drawing+xml"/>
  <Override PartName="/xl/charts/chart31.xml" ContentType="application/vnd.openxmlformats-officedocument.drawingml.chart+xml"/>
  <Override PartName="/xl/drawings/drawing15.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16.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2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drawings/drawing21.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EsteLivro" defaultThemeVersion="124226"/>
  <bookViews>
    <workbookView xWindow="480" yWindow="60" windowWidth="11355" windowHeight="9210"/>
  </bookViews>
  <sheets>
    <sheet name="2" sheetId="27" r:id="rId1"/>
    <sheet name="2.1.a" sheetId="25" r:id="rId2"/>
    <sheet name="2.1.b" sheetId="26" r:id="rId3"/>
    <sheet name="Folha1" sheetId="24" state="hidden" r:id="rId4"/>
    <sheet name="3 - APROV POR ANO E DISC." sheetId="2" r:id="rId5"/>
    <sheet name="4.1 MÉDIA 2º CICLO." sheetId="20" r:id="rId6"/>
    <sheet name="4.2 MÉDIA 3º CICLO" sheetId="22" r:id="rId7"/>
    <sheet name="5 - AREAS NÃO DISC" sheetId="3" r:id="rId8"/>
    <sheet name="6 - ALUNOS RET. REP." sheetId="5" r:id="rId9"/>
    <sheet name="9 - DISCIPLINA E COMPORTAMENTOS" sheetId="9" r:id="rId10"/>
    <sheet name="10 - CEF" sheetId="10" r:id="rId11"/>
    <sheet name="11 - ABANDONO ESCOLAR" sheetId="6" r:id="rId12"/>
    <sheet name="12 - APOIO EDUCATIVO" sheetId="7" r:id="rId13"/>
    <sheet name="13 - ALUNOS NEE" sheetId="11" r:id="rId14"/>
    <sheet name="14 - CLAS. PROVAS E EXAMES" sheetId="8" r:id="rId15"/>
    <sheet name="15-ASE" sheetId="18" r:id="rId16"/>
    <sheet name="16-ALUNOS ESTRANGEIROS" sheetId="21" r:id="rId17"/>
    <sheet name="TRIÉNIO 1" sheetId="23" r:id="rId18"/>
    <sheet name="TRIÉNIO 2" sheetId="15" r:id="rId19"/>
    <sheet name="TRIÉNIO 3" sheetId="14" r:id="rId20"/>
    <sheet name="TRIÉNIO 4" sheetId="13" r:id="rId21"/>
  </sheets>
  <externalReferences>
    <externalReference r:id="rId22"/>
  </externalReferences>
  <definedNames>
    <definedName name="_xlnm.Print_Area" localSheetId="19">'TRIÉNIO 3'!$A$1:$J$65</definedName>
  </definedNames>
  <calcPr calcId="145621"/>
</workbook>
</file>

<file path=xl/calcChain.xml><?xml version="1.0" encoding="utf-8"?>
<calcChain xmlns="http://schemas.openxmlformats.org/spreadsheetml/2006/main">
  <c r="AT12" i="24" l="1"/>
  <c r="E20" i="27"/>
  <c r="F20" i="27" s="1"/>
  <c r="G20" i="27"/>
  <c r="H20" i="27" s="1"/>
  <c r="E21" i="27"/>
  <c r="F21" i="27" s="1"/>
  <c r="G21" i="27"/>
  <c r="H21" i="27" s="1"/>
  <c r="C22" i="27"/>
  <c r="E22" i="27"/>
  <c r="F22" i="27"/>
  <c r="G22" i="27"/>
  <c r="H22" i="27"/>
  <c r="C23" i="27"/>
  <c r="C26" i="27" s="1"/>
  <c r="E23" i="27"/>
  <c r="F23" i="27" s="1"/>
  <c r="G23" i="27"/>
  <c r="C24" i="27"/>
  <c r="E24" i="27"/>
  <c r="F24" i="27"/>
  <c r="G24" i="27"/>
  <c r="H24" i="27"/>
  <c r="E25" i="27"/>
  <c r="F25" i="27" s="1"/>
  <c r="H25" i="27"/>
  <c r="D26" i="27"/>
  <c r="E26" i="27"/>
  <c r="G26" i="27"/>
  <c r="AH8" i="24"/>
  <c r="AI8" i="24"/>
  <c r="AM8" i="24"/>
  <c r="AN8" i="24"/>
  <c r="AH9" i="24"/>
  <c r="AI9" i="24"/>
  <c r="AM9" i="24"/>
  <c r="AN9" i="24"/>
  <c r="AR9" i="24"/>
  <c r="AS9" i="24"/>
  <c r="AH10" i="24"/>
  <c r="AI10" i="24"/>
  <c r="AM10" i="24"/>
  <c r="AN10" i="24"/>
  <c r="AR10" i="24"/>
  <c r="AS10" i="24"/>
  <c r="AH11" i="24"/>
  <c r="AI11" i="24"/>
  <c r="AM11" i="24"/>
  <c r="AN11" i="24"/>
  <c r="AR11" i="24"/>
  <c r="AS11" i="24"/>
  <c r="AH12" i="24"/>
  <c r="AI12" i="24"/>
  <c r="AM12" i="24"/>
  <c r="AN12" i="24"/>
  <c r="AS12" i="24"/>
  <c r="AC6" i="24"/>
  <c r="AD6" i="24"/>
  <c r="AC7" i="24"/>
  <c r="AD7" i="24"/>
  <c r="Y9" i="24"/>
  <c r="Z9" i="24"/>
  <c r="AC9" i="24"/>
  <c r="AD9" i="24"/>
  <c r="Y10" i="24"/>
  <c r="Z10" i="24"/>
  <c r="AC10" i="24"/>
  <c r="AD10" i="24"/>
  <c r="B28" i="7"/>
  <c r="C28" i="7"/>
  <c r="E28" i="7" s="1"/>
  <c r="J13" i="13" s="1"/>
  <c r="AJ12" i="24" s="1"/>
  <c r="F28" i="7"/>
  <c r="H28" i="7"/>
  <c r="K13" i="13" s="1"/>
  <c r="AO12" i="24" s="1"/>
  <c r="K28" i="7"/>
  <c r="L13" i="13" s="1"/>
  <c r="AN28" i="2"/>
  <c r="AP28" i="2"/>
  <c r="Q16" i="24" s="1"/>
  <c r="AR28" i="2"/>
  <c r="R16" i="24" s="1"/>
  <c r="AT28" i="2"/>
  <c r="T16" i="24" s="1"/>
  <c r="AV28" i="2"/>
  <c r="S16" i="24" s="1"/>
  <c r="AN29" i="2"/>
  <c r="AP29" i="2"/>
  <c r="Q17" i="24" s="1"/>
  <c r="AR29" i="2"/>
  <c r="R17" i="24" s="1"/>
  <c r="AT29" i="2"/>
  <c r="T17" i="24" s="1"/>
  <c r="AV29" i="2"/>
  <c r="S17" i="24" s="1"/>
  <c r="AN30" i="2"/>
  <c r="AP30" i="2"/>
  <c r="Q18" i="24" s="1"/>
  <c r="AR30" i="2"/>
  <c r="R18" i="24" s="1"/>
  <c r="AT30" i="2"/>
  <c r="T18" i="24" s="1"/>
  <c r="AV30" i="2"/>
  <c r="S18" i="24" s="1"/>
  <c r="H21" i="26"/>
  <c r="F21" i="26"/>
  <c r="D21" i="26"/>
  <c r="H20" i="26"/>
  <c r="F20" i="26"/>
  <c r="D20" i="26"/>
  <c r="H19" i="26"/>
  <c r="F19" i="26"/>
  <c r="D19" i="26"/>
  <c r="H18" i="26"/>
  <c r="F18" i="26"/>
  <c r="G18" i="26" s="1"/>
  <c r="D18" i="26"/>
  <c r="E18" i="26" s="1"/>
  <c r="I17" i="26"/>
  <c r="F17" i="26"/>
  <c r="D17" i="26"/>
  <c r="L28" i="25"/>
  <c r="J28" i="25"/>
  <c r="G28" i="25"/>
  <c r="H28" i="25" s="1"/>
  <c r="E28" i="25"/>
  <c r="F28" i="25" s="1"/>
  <c r="C28" i="25"/>
  <c r="D28" i="25" s="1"/>
  <c r="K27" i="25"/>
  <c r="I27" i="25"/>
  <c r="G27" i="25"/>
  <c r="E27" i="25"/>
  <c r="C27" i="25"/>
  <c r="K26" i="25"/>
  <c r="I26" i="25"/>
  <c r="G26" i="25"/>
  <c r="E26" i="25"/>
  <c r="C26" i="25"/>
  <c r="L25" i="25"/>
  <c r="J25" i="25"/>
  <c r="G25" i="25"/>
  <c r="H25" i="25" s="1"/>
  <c r="E25" i="25"/>
  <c r="F25" i="25" s="1"/>
  <c r="C25" i="25"/>
  <c r="D25" i="25" s="1"/>
  <c r="L24" i="25"/>
  <c r="I24" i="25"/>
  <c r="J24" i="25" s="1"/>
  <c r="G24" i="25"/>
  <c r="H24" i="25" s="1"/>
  <c r="E24" i="25"/>
  <c r="F24" i="25" s="1"/>
  <c r="C24" i="25"/>
  <c r="C29" i="25" s="1"/>
  <c r="C47" i="8"/>
  <c r="H47" i="8"/>
  <c r="I47" i="8"/>
  <c r="D12" i="18"/>
  <c r="D11" i="18"/>
  <c r="B25" i="7"/>
  <c r="B24" i="7"/>
  <c r="D13" i="6"/>
  <c r="D12" i="6"/>
  <c r="J14" i="20"/>
  <c r="I14" i="20"/>
  <c r="H14" i="20"/>
  <c r="G14" i="20"/>
  <c r="F14" i="20"/>
  <c r="E14" i="20"/>
  <c r="D14" i="20"/>
  <c r="C14" i="20"/>
  <c r="B14" i="20"/>
  <c r="J13" i="20"/>
  <c r="J15" i="20" s="1"/>
  <c r="I13" i="20"/>
  <c r="H13" i="20"/>
  <c r="G13" i="20"/>
  <c r="F13" i="20"/>
  <c r="E13" i="20"/>
  <c r="D13" i="20"/>
  <c r="C13" i="20"/>
  <c r="B13" i="20"/>
  <c r="F26" i="27" l="1"/>
  <c r="D24" i="25"/>
  <c r="D22" i="26"/>
  <c r="H23" i="27"/>
  <c r="F22" i="26"/>
  <c r="H26" i="27"/>
  <c r="H22" i="26"/>
  <c r="I18" i="26"/>
  <c r="B15" i="20"/>
  <c r="D15" i="20"/>
  <c r="F15" i="20"/>
  <c r="H15" i="20"/>
  <c r="E29" i="25"/>
  <c r="G29" i="25"/>
  <c r="I29" i="25"/>
  <c r="K29" i="25"/>
  <c r="E17" i="26"/>
  <c r="G17" i="26"/>
  <c r="C15" i="20"/>
  <c r="E15" i="20"/>
  <c r="G15" i="20"/>
  <c r="I15" i="20"/>
  <c r="J47" i="8"/>
  <c r="E49" i="24" s="1"/>
  <c r="K47" i="8"/>
  <c r="L47" i="8" s="1"/>
  <c r="F49" i="24" s="1"/>
  <c r="Q47" i="8" l="1"/>
  <c r="Q22" i="8"/>
  <c r="G20" i="3"/>
  <c r="E20" i="3"/>
  <c r="C20" i="3"/>
  <c r="H84" i="22"/>
  <c r="F84" i="22"/>
  <c r="D84" i="22"/>
  <c r="G25" i="22"/>
  <c r="AK11" i="2"/>
  <c r="AL11" i="2" s="1"/>
  <c r="U12" i="24" s="1"/>
  <c r="AI11" i="2"/>
  <c r="AG11" i="2"/>
  <c r="AC11" i="2"/>
  <c r="W24" i="2"/>
  <c r="U24" i="2"/>
  <c r="S24" i="2"/>
  <c r="Q24" i="2"/>
  <c r="O24" i="2"/>
  <c r="W16" i="2"/>
  <c r="V16" i="2"/>
  <c r="S16" i="2"/>
  <c r="O16" i="2"/>
  <c r="Q16" i="2"/>
  <c r="E14" i="5"/>
  <c r="G14" i="5" s="1"/>
  <c r="O14" i="5"/>
  <c r="V47" i="8"/>
  <c r="V22" i="8"/>
  <c r="E84" i="22"/>
  <c r="AF11" i="2"/>
  <c r="R12" i="24" s="1"/>
  <c r="E15" i="18"/>
  <c r="L11" i="5"/>
  <c r="L10" i="5"/>
  <c r="D11" i="5"/>
  <c r="D10" i="5"/>
  <c r="N12" i="9"/>
  <c r="N11" i="9"/>
  <c r="C12" i="9"/>
  <c r="C11" i="9"/>
  <c r="I21" i="26" l="1"/>
  <c r="G21" i="26"/>
  <c r="E21" i="26"/>
  <c r="I84" i="22"/>
  <c r="I85" i="22" s="1"/>
  <c r="AB11" i="2"/>
  <c r="AD11" i="2" s="1"/>
  <c r="Q12" i="24" s="1"/>
  <c r="D25" i="22"/>
  <c r="F25" i="22"/>
  <c r="D58" i="22"/>
  <c r="F58" i="22"/>
  <c r="H58" i="22"/>
  <c r="T16" i="2"/>
  <c r="J13" i="15" s="1"/>
  <c r="E25" i="22"/>
  <c r="E58" i="22"/>
  <c r="G58" i="22"/>
  <c r="G84" i="22"/>
  <c r="F35" i="21"/>
  <c r="C35" i="21"/>
  <c r="H83" i="22"/>
  <c r="H82" i="22"/>
  <c r="G23" i="22"/>
  <c r="G24" i="22"/>
  <c r="G26" i="22" s="1"/>
  <c r="W14" i="5"/>
  <c r="AD14" i="5" s="1"/>
  <c r="W15" i="5"/>
  <c r="G30" i="21"/>
  <c r="G31" i="21"/>
  <c r="G32" i="21"/>
  <c r="G33" i="21"/>
  <c r="G34" i="21"/>
  <c r="G29" i="21"/>
  <c r="E30" i="21"/>
  <c r="E31" i="21"/>
  <c r="E32" i="21"/>
  <c r="E29" i="21"/>
  <c r="D35" i="21"/>
  <c r="G10" i="21"/>
  <c r="G11" i="21"/>
  <c r="G12" i="21"/>
  <c r="G13" i="21"/>
  <c r="G14" i="21"/>
  <c r="G9" i="21"/>
  <c r="F15" i="21"/>
  <c r="E15" i="21"/>
  <c r="D14" i="21"/>
  <c r="D10" i="21"/>
  <c r="D11" i="21"/>
  <c r="D12" i="21"/>
  <c r="D13" i="21"/>
  <c r="D9" i="21"/>
  <c r="H12" i="18"/>
  <c r="F12" i="18"/>
  <c r="E12" i="18"/>
  <c r="H11" i="18"/>
  <c r="F11" i="18"/>
  <c r="G11" i="18" s="1"/>
  <c r="E11" i="18"/>
  <c r="I27" i="7"/>
  <c r="K27" i="7" s="1"/>
  <c r="L12" i="13" s="1"/>
  <c r="AT11" i="24" s="1"/>
  <c r="J26" i="7"/>
  <c r="I26" i="7"/>
  <c r="I22" i="8"/>
  <c r="H22" i="8"/>
  <c r="J22" i="8" s="1"/>
  <c r="B49" i="24" s="1"/>
  <c r="C22" i="8"/>
  <c r="G17" i="3"/>
  <c r="G21" i="3" s="1"/>
  <c r="E17" i="3"/>
  <c r="E21" i="3" s="1"/>
  <c r="C17" i="3"/>
  <c r="C21" i="3" s="1"/>
  <c r="G16" i="3"/>
  <c r="E16" i="3"/>
  <c r="C16" i="3"/>
  <c r="I19" i="2"/>
  <c r="J19" i="2" s="1"/>
  <c r="AZ10" i="15" s="1"/>
  <c r="G19" i="2"/>
  <c r="H19" i="2" s="1"/>
  <c r="AM10" i="15" s="1"/>
  <c r="E19" i="2"/>
  <c r="F19" i="2" s="1"/>
  <c r="AG10" i="15" s="1"/>
  <c r="C19" i="2"/>
  <c r="D19" i="2" s="1"/>
  <c r="AD10" i="15" s="1"/>
  <c r="K12" i="2"/>
  <c r="L12" i="2" s="1"/>
  <c r="W10" i="15" s="1"/>
  <c r="I12" i="2"/>
  <c r="F47" i="8" s="1"/>
  <c r="G12" i="2"/>
  <c r="H12" i="2" s="1"/>
  <c r="M10" i="15" s="1"/>
  <c r="E12" i="2"/>
  <c r="F12" i="2" s="1"/>
  <c r="G10" i="15" s="1"/>
  <c r="C12" i="2"/>
  <c r="F22" i="8" s="1"/>
  <c r="I18" i="2"/>
  <c r="J18" i="2" s="1"/>
  <c r="AZ9" i="15" s="1"/>
  <c r="G18" i="2"/>
  <c r="H18" i="2" s="1"/>
  <c r="AM9" i="15" s="1"/>
  <c r="E18" i="2"/>
  <c r="F18" i="2" s="1"/>
  <c r="AG9" i="15" s="1"/>
  <c r="C18" i="2"/>
  <c r="D18" i="2" s="1"/>
  <c r="AD9" i="15" s="1"/>
  <c r="K11" i="2"/>
  <c r="L11" i="2" s="1"/>
  <c r="W9" i="15" s="1"/>
  <c r="I11" i="2"/>
  <c r="J11" i="2" s="1"/>
  <c r="T9" i="15" s="1"/>
  <c r="G11" i="2"/>
  <c r="H11" i="2" s="1"/>
  <c r="M9" i="15" s="1"/>
  <c r="E11" i="2"/>
  <c r="F11" i="2" s="1"/>
  <c r="G9" i="15" s="1"/>
  <c r="C11" i="2"/>
  <c r="E11" i="5"/>
  <c r="G11" i="5" s="1"/>
  <c r="E10" i="5"/>
  <c r="O11" i="5"/>
  <c r="M11" i="5"/>
  <c r="N11" i="5" s="1"/>
  <c r="O10" i="5"/>
  <c r="M10" i="5"/>
  <c r="N10" i="5" s="1"/>
  <c r="H10" i="11"/>
  <c r="E16" i="9"/>
  <c r="E14" i="9"/>
  <c r="E13" i="9"/>
  <c r="E12" i="9"/>
  <c r="E11" i="9"/>
  <c r="E15" i="9"/>
  <c r="J25" i="7"/>
  <c r="J24" i="7"/>
  <c r="I25" i="7"/>
  <c r="I24" i="7"/>
  <c r="G25" i="7"/>
  <c r="H25" i="7" s="1"/>
  <c r="K10" i="13" s="1"/>
  <c r="AO9" i="24" s="1"/>
  <c r="G24" i="7"/>
  <c r="H24" i="7" s="1"/>
  <c r="K9" i="13" s="1"/>
  <c r="AO8" i="24" s="1"/>
  <c r="F25" i="7"/>
  <c r="F24" i="7"/>
  <c r="D25" i="7"/>
  <c r="D24" i="7"/>
  <c r="C25" i="7"/>
  <c r="E25" i="7" s="1"/>
  <c r="J10" i="13" s="1"/>
  <c r="AJ9" i="24" s="1"/>
  <c r="C24" i="7"/>
  <c r="G27" i="7"/>
  <c r="G26" i="7"/>
  <c r="F27" i="7"/>
  <c r="F26" i="7"/>
  <c r="D27" i="7"/>
  <c r="D26" i="7"/>
  <c r="C27" i="7"/>
  <c r="E27" i="7" s="1"/>
  <c r="J12" i="13" s="1"/>
  <c r="AJ11" i="24" s="1"/>
  <c r="C26" i="7"/>
  <c r="H13" i="18"/>
  <c r="F13" i="18"/>
  <c r="E13" i="18"/>
  <c r="H14" i="18"/>
  <c r="F14" i="18"/>
  <c r="E14" i="18"/>
  <c r="G14" i="18" s="1"/>
  <c r="G16" i="18"/>
  <c r="I12" i="18"/>
  <c r="I11" i="18"/>
  <c r="G12" i="18"/>
  <c r="G15" i="18"/>
  <c r="H11" i="11"/>
  <c r="H12" i="11"/>
  <c r="H13" i="11"/>
  <c r="H14" i="11"/>
  <c r="E19" i="3"/>
  <c r="C19" i="3"/>
  <c r="G18" i="3"/>
  <c r="E18" i="3"/>
  <c r="C18" i="3"/>
  <c r="AV13" i="2"/>
  <c r="P16" i="24" s="1"/>
  <c r="AT13" i="2"/>
  <c r="O16" i="24" s="1"/>
  <c r="AR13" i="2"/>
  <c r="N16" i="24" s="1"/>
  <c r="AP13" i="2"/>
  <c r="M16" i="24" s="1"/>
  <c r="AK10" i="2"/>
  <c r="AL10" i="2" s="1"/>
  <c r="U11" i="24" s="1"/>
  <c r="AI10" i="2"/>
  <c r="AG10" i="2"/>
  <c r="AE10" i="2"/>
  <c r="AC10" i="2"/>
  <c r="U23" i="2"/>
  <c r="S23" i="2"/>
  <c r="Q23" i="2"/>
  <c r="O23" i="2"/>
  <c r="W15" i="2"/>
  <c r="X15" i="2" s="1"/>
  <c r="M12" i="15" s="1"/>
  <c r="U15" i="2"/>
  <c r="V15" i="2" s="1"/>
  <c r="S15" i="2"/>
  <c r="Q15" i="2"/>
  <c r="O15" i="2"/>
  <c r="AK9" i="2"/>
  <c r="AL9" i="2" s="1"/>
  <c r="U10" i="24" s="1"/>
  <c r="AI9" i="2"/>
  <c r="AG9" i="2"/>
  <c r="AE9" i="2"/>
  <c r="AC9" i="2"/>
  <c r="U22" i="2"/>
  <c r="S22" i="2"/>
  <c r="Q22" i="2"/>
  <c r="O22" i="2"/>
  <c r="W14" i="2"/>
  <c r="U14" i="2"/>
  <c r="V14" i="2" s="1"/>
  <c r="S14" i="2"/>
  <c r="Q14" i="2"/>
  <c r="O14" i="2"/>
  <c r="E13" i="5"/>
  <c r="G13" i="5" s="1"/>
  <c r="E12" i="5"/>
  <c r="G12" i="5" s="1"/>
  <c r="D16" i="18"/>
  <c r="I16" i="18" s="1"/>
  <c r="D15" i="18"/>
  <c r="I15" i="18" s="1"/>
  <c r="M13" i="5"/>
  <c r="O13" i="5"/>
  <c r="O12" i="5"/>
  <c r="M14" i="5"/>
  <c r="M12" i="5"/>
  <c r="AB19" i="5"/>
  <c r="AB18" i="5"/>
  <c r="AB17" i="5"/>
  <c r="AB16" i="5"/>
  <c r="AB15" i="5"/>
  <c r="AB14" i="5"/>
  <c r="Y19" i="5"/>
  <c r="Y18" i="5"/>
  <c r="Y17" i="5"/>
  <c r="Y16" i="5"/>
  <c r="Y15" i="5"/>
  <c r="Y14" i="5"/>
  <c r="AC15" i="5"/>
  <c r="Z15" i="5"/>
  <c r="AC18" i="5"/>
  <c r="Z18" i="5"/>
  <c r="AC17" i="5"/>
  <c r="AC16" i="5"/>
  <c r="Z17" i="5"/>
  <c r="Z16" i="5"/>
  <c r="Z14" i="5"/>
  <c r="E15" i="11"/>
  <c r="F15" i="11"/>
  <c r="G15" i="11"/>
  <c r="R22" i="8"/>
  <c r="W22" i="8"/>
  <c r="B40" i="24" s="1"/>
  <c r="X22" i="8"/>
  <c r="Y22" i="8" s="1"/>
  <c r="C40" i="24" s="1"/>
  <c r="R47" i="8"/>
  <c r="W47" i="8"/>
  <c r="E40" i="24" s="1"/>
  <c r="X47" i="8"/>
  <c r="Y47" i="8" s="1"/>
  <c r="F40" i="24" s="1"/>
  <c r="I5" i="23"/>
  <c r="I6" i="23"/>
  <c r="I7" i="23"/>
  <c r="C20" i="24"/>
  <c r="C21" i="24"/>
  <c r="C22" i="24"/>
  <c r="I9" i="23"/>
  <c r="D20" i="24"/>
  <c r="D21" i="24"/>
  <c r="D22" i="24"/>
  <c r="G20" i="24"/>
  <c r="G21" i="24"/>
  <c r="G22" i="24"/>
  <c r="B11" i="2"/>
  <c r="N14" i="2"/>
  <c r="N15" i="2"/>
  <c r="AP14" i="2"/>
  <c r="M17" i="24" s="1"/>
  <c r="AR14" i="2"/>
  <c r="N17" i="24" s="1"/>
  <c r="AT14" i="2"/>
  <c r="O17" i="24" s="1"/>
  <c r="AV14" i="2"/>
  <c r="P17" i="24" s="1"/>
  <c r="N16" i="2"/>
  <c r="P16" i="2"/>
  <c r="D13" i="15" s="1"/>
  <c r="R16" i="2"/>
  <c r="G13" i="15" s="1"/>
  <c r="X16" i="2"/>
  <c r="M13" i="15" s="1"/>
  <c r="P24" i="2"/>
  <c r="M12" i="24" s="1"/>
  <c r="R24" i="2"/>
  <c r="N12" i="24" s="1"/>
  <c r="AP15" i="2"/>
  <c r="M18" i="24" s="1"/>
  <c r="AR15" i="2"/>
  <c r="N18" i="24" s="1"/>
  <c r="AT15" i="2"/>
  <c r="O18" i="24" s="1"/>
  <c r="AV15" i="2"/>
  <c r="P18" i="24" s="1"/>
  <c r="AN16" i="2"/>
  <c r="AO16" i="2"/>
  <c r="AP16" i="2" s="1"/>
  <c r="M19" i="24" s="1"/>
  <c r="AQ16" i="2"/>
  <c r="AR16" i="2" s="1"/>
  <c r="N19" i="24" s="1"/>
  <c r="AS16" i="2"/>
  <c r="AT16" i="2" s="1"/>
  <c r="O19" i="24" s="1"/>
  <c r="AU16" i="2"/>
  <c r="AV16" i="2" s="1"/>
  <c r="P19" i="24" s="1"/>
  <c r="AO31" i="2"/>
  <c r="AQ31" i="2"/>
  <c r="B18" i="2"/>
  <c r="B20" i="2" s="1"/>
  <c r="N22" i="2"/>
  <c r="N23" i="2"/>
  <c r="N24" i="2"/>
  <c r="T24" i="2"/>
  <c r="O12" i="24" s="1"/>
  <c r="V24" i="2"/>
  <c r="P12" i="24" s="1"/>
  <c r="AJ11" i="2"/>
  <c r="T12" i="24" s="1"/>
  <c r="X24" i="2"/>
  <c r="W25" i="2"/>
  <c r="X25" i="2" s="1"/>
  <c r="AS31" i="2"/>
  <c r="AU31" i="2"/>
  <c r="B16" i="3"/>
  <c r="D16" i="3" s="1"/>
  <c r="AQ9" i="15" s="1"/>
  <c r="B17" i="3"/>
  <c r="B18" i="3"/>
  <c r="D18" i="3" s="1"/>
  <c r="AQ11" i="15" s="1"/>
  <c r="B19" i="3"/>
  <c r="D19" i="3" s="1"/>
  <c r="AQ12" i="15" s="1"/>
  <c r="B20" i="3"/>
  <c r="D20" i="3" s="1"/>
  <c r="AQ13" i="15" s="1"/>
  <c r="D12" i="5"/>
  <c r="L12" i="5"/>
  <c r="D13" i="5"/>
  <c r="L13" i="5"/>
  <c r="P13" i="5"/>
  <c r="W16" i="5"/>
  <c r="D14" i="5"/>
  <c r="L14" i="5"/>
  <c r="P14" i="5"/>
  <c r="W17" i="5"/>
  <c r="F15" i="5"/>
  <c r="W18" i="5"/>
  <c r="W19" i="5"/>
  <c r="AD19" i="5" s="1"/>
  <c r="X20" i="5"/>
  <c r="AA20" i="5"/>
  <c r="F11" i="9"/>
  <c r="G11" i="9" s="1"/>
  <c r="P11" i="9"/>
  <c r="Q11" i="9"/>
  <c r="S11" i="9"/>
  <c r="P12" i="9"/>
  <c r="S12" i="9"/>
  <c r="C13" i="9"/>
  <c r="F13" i="9"/>
  <c r="G13" i="9" s="1"/>
  <c r="N13" i="9"/>
  <c r="P13" i="9" s="1"/>
  <c r="Q13" i="9"/>
  <c r="S13" i="9"/>
  <c r="C14" i="9"/>
  <c r="N14" i="9"/>
  <c r="P14" i="9" s="1"/>
  <c r="S14" i="9"/>
  <c r="C15" i="9"/>
  <c r="N15" i="9"/>
  <c r="P15" i="9" s="1"/>
  <c r="S15" i="9"/>
  <c r="C16" i="9"/>
  <c r="F16" i="9"/>
  <c r="G16" i="9" s="1"/>
  <c r="N16" i="9"/>
  <c r="S16" i="9"/>
  <c r="D17" i="9"/>
  <c r="E17" i="9" s="1"/>
  <c r="O17" i="9"/>
  <c r="F12" i="6"/>
  <c r="I30" i="23" s="1"/>
  <c r="F13" i="6"/>
  <c r="I31" i="23" s="1"/>
  <c r="D14" i="6"/>
  <c r="F14" i="6" s="1"/>
  <c r="I32" i="23" s="1"/>
  <c r="D15" i="6"/>
  <c r="F15" i="6" s="1"/>
  <c r="I33" i="23" s="1"/>
  <c r="D16" i="6"/>
  <c r="F16" i="6" s="1"/>
  <c r="I34" i="23" s="1"/>
  <c r="E17" i="6"/>
  <c r="K25" i="7"/>
  <c r="L10" i="13" s="1"/>
  <c r="AT9" i="24" s="1"/>
  <c r="B26" i="7"/>
  <c r="K26" i="7"/>
  <c r="L11" i="13" s="1"/>
  <c r="AT10" i="24" s="1"/>
  <c r="B27" i="7"/>
  <c r="Q17" i="9" l="1"/>
  <c r="F17" i="9"/>
  <c r="G17" i="9" s="1"/>
  <c r="Q17" i="2"/>
  <c r="AC12" i="2"/>
  <c r="AD12" i="2" s="1"/>
  <c r="Q13" i="24" s="1"/>
  <c r="F17" i="18"/>
  <c r="D17" i="3"/>
  <c r="AQ10" i="15" s="1"/>
  <c r="S17" i="2"/>
  <c r="G13" i="18"/>
  <c r="F8" i="14"/>
  <c r="AA9" i="24" s="1"/>
  <c r="E39" i="24"/>
  <c r="F36" i="14"/>
  <c r="AE9" i="24" s="1"/>
  <c r="B39" i="24"/>
  <c r="E26" i="7"/>
  <c r="J11" i="13" s="1"/>
  <c r="AJ10" i="24" s="1"/>
  <c r="I29" i="7"/>
  <c r="C29" i="7"/>
  <c r="D29" i="7"/>
  <c r="E29" i="7" s="1"/>
  <c r="F29" i="7"/>
  <c r="G29" i="7"/>
  <c r="J29" i="7"/>
  <c r="I20" i="26"/>
  <c r="F22" i="24" s="1"/>
  <c r="G20" i="26"/>
  <c r="F21" i="24" s="1"/>
  <c r="E20" i="26"/>
  <c r="F20" i="24" s="1"/>
  <c r="I19" i="26"/>
  <c r="E22" i="24" s="1"/>
  <c r="G19" i="26"/>
  <c r="E21" i="24" s="1"/>
  <c r="E19" i="26"/>
  <c r="AB10" i="2"/>
  <c r="J27" i="25"/>
  <c r="H27" i="25"/>
  <c r="D27" i="25"/>
  <c r="F27" i="25"/>
  <c r="L27" i="25"/>
  <c r="G82" i="22"/>
  <c r="F26" i="25"/>
  <c r="D26" i="25"/>
  <c r="L26" i="25"/>
  <c r="H26" i="25"/>
  <c r="J26" i="25"/>
  <c r="B29" i="7"/>
  <c r="R17" i="2"/>
  <c r="R15" i="2"/>
  <c r="G12" i="15" s="1"/>
  <c r="T23" i="2"/>
  <c r="O11" i="24" s="1"/>
  <c r="AD10" i="2"/>
  <c r="Q11" i="24" s="1"/>
  <c r="AH10" i="2"/>
  <c r="S11" i="24" s="1"/>
  <c r="K22" i="8"/>
  <c r="L22" i="8" s="1"/>
  <c r="C49" i="24" s="1"/>
  <c r="AP31" i="2"/>
  <c r="Q19" i="24" s="1"/>
  <c r="E15" i="5"/>
  <c r="G10" i="5"/>
  <c r="G15" i="5"/>
  <c r="V22" i="2"/>
  <c r="P10" i="24" s="1"/>
  <c r="P15" i="2"/>
  <c r="D12" i="15" s="1"/>
  <c r="H26" i="7"/>
  <c r="K11" i="13" s="1"/>
  <c r="AO10" i="24" s="1"/>
  <c r="AT31" i="2"/>
  <c r="T19" i="24" s="1"/>
  <c r="AV31" i="2"/>
  <c r="S19" i="24" s="1"/>
  <c r="AR31" i="2"/>
  <c r="R19" i="24" s="1"/>
  <c r="G47" i="8"/>
  <c r="F48" i="24" s="1"/>
  <c r="D47" i="8"/>
  <c r="E47" i="8" s="1"/>
  <c r="E48" i="24" s="1"/>
  <c r="G15" i="21"/>
  <c r="E35" i="21"/>
  <c r="G35" i="21"/>
  <c r="AD18" i="5"/>
  <c r="AD17" i="5"/>
  <c r="N14" i="5"/>
  <c r="AC20" i="5"/>
  <c r="Y20" i="5"/>
  <c r="AB20" i="5"/>
  <c r="M15" i="5"/>
  <c r="P11" i="5"/>
  <c r="Z20" i="5"/>
  <c r="N12" i="5"/>
  <c r="P12" i="5"/>
  <c r="P10" i="5"/>
  <c r="AD15" i="5"/>
  <c r="O15" i="5"/>
  <c r="L15" i="5"/>
  <c r="AD16" i="5"/>
  <c r="N13" i="5"/>
  <c r="AN31" i="2"/>
  <c r="AK12" i="2"/>
  <c r="AL12" i="2" s="1"/>
  <c r="U13" i="24" s="1"/>
  <c r="R14" i="2"/>
  <c r="G11" i="15" s="1"/>
  <c r="J12" i="2"/>
  <c r="T10" i="15" s="1"/>
  <c r="G13" i="2"/>
  <c r="H13" i="2" s="1"/>
  <c r="AH11" i="2"/>
  <c r="S12" i="24" s="1"/>
  <c r="D11" i="2"/>
  <c r="D9" i="15" s="1"/>
  <c r="H85" i="22"/>
  <c r="I8" i="23"/>
  <c r="P14" i="2"/>
  <c r="D11" i="15" s="1"/>
  <c r="T17" i="2"/>
  <c r="X14" i="2"/>
  <c r="M11" i="15" s="1"/>
  <c r="R22" i="2"/>
  <c r="N10" i="24" s="1"/>
  <c r="AF9" i="2"/>
  <c r="R10" i="24" s="1"/>
  <c r="AJ9" i="2"/>
  <c r="T10" i="24" s="1"/>
  <c r="R23" i="2"/>
  <c r="N11" i="24" s="1"/>
  <c r="F24" i="22"/>
  <c r="D24" i="22"/>
  <c r="F23" i="22"/>
  <c r="F26" i="22" s="1"/>
  <c r="D23" i="22"/>
  <c r="E56" i="22"/>
  <c r="G56" i="22"/>
  <c r="D57" i="22"/>
  <c r="F57" i="22"/>
  <c r="H57" i="22"/>
  <c r="E82" i="22"/>
  <c r="D83" i="22"/>
  <c r="F83" i="22"/>
  <c r="D13" i="18"/>
  <c r="I13" i="18" s="1"/>
  <c r="AB9" i="2"/>
  <c r="AB12" i="2" s="1"/>
  <c r="P22" i="2"/>
  <c r="M10" i="24" s="1"/>
  <c r="T22" i="2"/>
  <c r="O10" i="24" s="1"/>
  <c r="AD9" i="2"/>
  <c r="Q10" i="24" s="1"/>
  <c r="AH9" i="2"/>
  <c r="S10" i="24" s="1"/>
  <c r="E24" i="22"/>
  <c r="E23" i="22"/>
  <c r="D56" i="22"/>
  <c r="D59" i="22" s="1"/>
  <c r="F56" i="22"/>
  <c r="H56" i="22"/>
  <c r="E57" i="22"/>
  <c r="G57" i="22"/>
  <c r="D82" i="22"/>
  <c r="F82" i="22"/>
  <c r="E83" i="22"/>
  <c r="G83" i="22"/>
  <c r="B21" i="3"/>
  <c r="F21" i="3" s="1"/>
  <c r="G7" i="14"/>
  <c r="AA7" i="24" s="1"/>
  <c r="G35" i="14"/>
  <c r="AE7" i="24" s="1"/>
  <c r="G8" i="14"/>
  <c r="AA10" i="24" s="1"/>
  <c r="G36" i="14"/>
  <c r="AE10" i="24" s="1"/>
  <c r="H27" i="7"/>
  <c r="K12" i="13" s="1"/>
  <c r="AO11" i="24" s="1"/>
  <c r="E24" i="7"/>
  <c r="J9" i="13" s="1"/>
  <c r="AJ8" i="24" s="1"/>
  <c r="H29" i="7"/>
  <c r="K24" i="7"/>
  <c r="L9" i="13" s="1"/>
  <c r="AT8" i="24" s="1"/>
  <c r="W17" i="2"/>
  <c r="X17" i="2" s="1"/>
  <c r="U25" i="2"/>
  <c r="V25" i="2" s="1"/>
  <c r="P13" i="24" s="1"/>
  <c r="AE12" i="2"/>
  <c r="AI12" i="2"/>
  <c r="AJ12" i="2" s="1"/>
  <c r="T13" i="24" s="1"/>
  <c r="E20" i="2"/>
  <c r="F20" i="2" s="1"/>
  <c r="O17" i="2"/>
  <c r="P17" i="2" s="1"/>
  <c r="C20" i="2"/>
  <c r="D20" i="2" s="1"/>
  <c r="G20" i="2"/>
  <c r="H20" i="2" s="1"/>
  <c r="AZ11" i="15"/>
  <c r="AG12" i="2"/>
  <c r="S25" i="2"/>
  <c r="T25" i="2" s="1"/>
  <c r="O13" i="24" s="1"/>
  <c r="I20" i="2"/>
  <c r="J20" i="2" s="1"/>
  <c r="AJ10" i="2"/>
  <c r="T11" i="24" s="1"/>
  <c r="AF10" i="2"/>
  <c r="R11" i="24" s="1"/>
  <c r="V23" i="2"/>
  <c r="P11" i="24" s="1"/>
  <c r="U17" i="2"/>
  <c r="V17" i="2" s="1"/>
  <c r="N17" i="2"/>
  <c r="C13" i="2"/>
  <c r="D13" i="2" s="1"/>
  <c r="D12" i="2"/>
  <c r="G22" i="8" s="1"/>
  <c r="C48" i="24" s="1"/>
  <c r="D22" i="8"/>
  <c r="E22" i="8" s="1"/>
  <c r="B48" i="24" s="1"/>
  <c r="D15" i="21"/>
  <c r="Q25" i="2"/>
  <c r="R25" i="2" s="1"/>
  <c r="N13" i="24" s="1"/>
  <c r="I13" i="2"/>
  <c r="J13" i="2" s="1"/>
  <c r="E13" i="2"/>
  <c r="F13" i="2" s="1"/>
  <c r="K13" i="2"/>
  <c r="L13" i="2" s="1"/>
  <c r="K29" i="7"/>
  <c r="AZ12" i="15"/>
  <c r="E20" i="24"/>
  <c r="T14" i="2"/>
  <c r="J11" i="15" s="1"/>
  <c r="T13" i="15"/>
  <c r="W12" i="15"/>
  <c r="Z13" i="15"/>
  <c r="AJ12" i="15"/>
  <c r="AM13" i="15"/>
  <c r="AZ13" i="15"/>
  <c r="T15" i="2"/>
  <c r="J12" i="15" s="1"/>
  <c r="P23" i="2"/>
  <c r="M11" i="24" s="1"/>
  <c r="D14" i="18"/>
  <c r="I14" i="18" s="1"/>
  <c r="H17" i="18"/>
  <c r="Q13" i="15"/>
  <c r="T12" i="15"/>
  <c r="W13" i="15"/>
  <c r="Z11" i="15"/>
  <c r="AD12" i="15"/>
  <c r="AG13" i="15"/>
  <c r="E17" i="18"/>
  <c r="G17" i="18" s="1"/>
  <c r="H15" i="11"/>
  <c r="O25" i="2"/>
  <c r="P25" i="2" s="1"/>
  <c r="M13" i="24" s="1"/>
  <c r="C17" i="9"/>
  <c r="R11" i="9"/>
  <c r="N25" i="2"/>
  <c r="S47" i="8"/>
  <c r="T47" i="8" s="1"/>
  <c r="F39" i="24" s="1"/>
  <c r="F20" i="3"/>
  <c r="AT13" i="15" s="1"/>
  <c r="F19" i="3"/>
  <c r="AT12" i="15" s="1"/>
  <c r="F16" i="3"/>
  <c r="AT9" i="15" s="1"/>
  <c r="B13" i="2"/>
  <c r="D17" i="6"/>
  <c r="F17" i="6" s="1"/>
  <c r="F17" i="3"/>
  <c r="AT10" i="15" s="1"/>
  <c r="F18" i="3"/>
  <c r="AT11" i="15" s="1"/>
  <c r="R13" i="9"/>
  <c r="H20" i="3"/>
  <c r="AW13" i="15" s="1"/>
  <c r="H19" i="3"/>
  <c r="AW12" i="15" s="1"/>
  <c r="H18" i="3"/>
  <c r="AW11" i="15" s="1"/>
  <c r="H17" i="3"/>
  <c r="AW10" i="15" s="1"/>
  <c r="H16" i="3"/>
  <c r="AW9" i="15" s="1"/>
  <c r="N17" i="9"/>
  <c r="S17" i="9"/>
  <c r="P16" i="9"/>
  <c r="W20" i="5"/>
  <c r="D15" i="5"/>
  <c r="S22" i="8"/>
  <c r="T22" i="8" s="1"/>
  <c r="C39" i="24" s="1"/>
  <c r="H59" i="22" l="1"/>
  <c r="F59" i="22"/>
  <c r="G85" i="22"/>
  <c r="AD20" i="5"/>
  <c r="D26" i="22"/>
  <c r="I22" i="26"/>
  <c r="H22" i="24" s="1"/>
  <c r="G22" i="26"/>
  <c r="H21" i="24" s="1"/>
  <c r="E22" i="26"/>
  <c r="H20" i="24" s="1"/>
  <c r="D29" i="25"/>
  <c r="H29" i="25"/>
  <c r="L29" i="25"/>
  <c r="F29" i="25"/>
  <c r="J29" i="25"/>
  <c r="N15" i="5"/>
  <c r="P15" i="5"/>
  <c r="AG12" i="15"/>
  <c r="H21" i="3"/>
  <c r="AM11" i="15"/>
  <c r="T11" i="15"/>
  <c r="AD11" i="15"/>
  <c r="Q11" i="15"/>
  <c r="AH12" i="2"/>
  <c r="S13" i="24" s="1"/>
  <c r="AF12" i="2"/>
  <c r="R13" i="24" s="1"/>
  <c r="AJ11" i="15"/>
  <c r="AG11" i="15"/>
  <c r="W11" i="15"/>
  <c r="D85" i="22"/>
  <c r="E26" i="22"/>
  <c r="G59" i="22"/>
  <c r="F85" i="22"/>
  <c r="E59" i="22"/>
  <c r="E85" i="22"/>
  <c r="D21" i="3"/>
  <c r="AM12" i="15"/>
  <c r="D10" i="15"/>
  <c r="Z12" i="15"/>
  <c r="F7" i="14"/>
  <c r="AA6" i="24" s="1"/>
  <c r="F35" i="14"/>
  <c r="AE6" i="24" s="1"/>
  <c r="Q12" i="15"/>
  <c r="D17" i="18"/>
  <c r="I17" i="18" s="1"/>
  <c r="P17" i="9"/>
  <c r="R17" i="9"/>
</calcChain>
</file>

<file path=xl/sharedStrings.xml><?xml version="1.0" encoding="utf-8"?>
<sst xmlns="http://schemas.openxmlformats.org/spreadsheetml/2006/main" count="854" uniqueCount="249">
  <si>
    <t>2 – PROGRESSÃO / RETENÇÃO DOS ALUNOS</t>
  </si>
  <si>
    <t>QUADRO I</t>
  </si>
  <si>
    <t>Ano</t>
  </si>
  <si>
    <t>% de alunos  que progrediram</t>
  </si>
  <si>
    <t>% de alunos  que ficaram retidos</t>
  </si>
  <si>
    <t>5º</t>
  </si>
  <si>
    <t>6º</t>
  </si>
  <si>
    <t>7º</t>
  </si>
  <si>
    <t>8º</t>
  </si>
  <si>
    <t>9º</t>
  </si>
  <si>
    <t>CEF’s</t>
  </si>
  <si>
    <t>TOTAL</t>
  </si>
  <si>
    <t>Total de Alunos</t>
  </si>
  <si>
    <t>Nº de alunos  que progrediram</t>
  </si>
  <si>
    <t>Nº de alunos  que ficaram retidos</t>
  </si>
  <si>
    <t xml:space="preserve">3- APROVEITAMENTO POR ANO E DISCIPLINA </t>
  </si>
  <si>
    <t>LP</t>
  </si>
  <si>
    <t>ING</t>
  </si>
  <si>
    <t>HGP</t>
  </si>
  <si>
    <t>MAT</t>
  </si>
  <si>
    <t>CN</t>
  </si>
  <si>
    <t>EVT</t>
  </si>
  <si>
    <t>EM</t>
  </si>
  <si>
    <t>EF</t>
  </si>
  <si>
    <t>EMRC</t>
  </si>
  <si>
    <t>Nº de Alunos</t>
  </si>
  <si>
    <t>% de Alunos</t>
  </si>
  <si>
    <t>FRAN</t>
  </si>
  <si>
    <t>GEO</t>
  </si>
  <si>
    <t>FQ</t>
  </si>
  <si>
    <t>EV</t>
  </si>
  <si>
    <t>CEF1 Cab</t>
  </si>
  <si>
    <t>MAT. APLICADA</t>
  </si>
  <si>
    <t>CMA</t>
  </si>
  <si>
    <t>HSST</t>
  </si>
  <si>
    <t>TI</t>
  </si>
  <si>
    <t>CEF2 Cab</t>
  </si>
  <si>
    <t>ET</t>
  </si>
  <si>
    <t>ESPANHOL</t>
  </si>
  <si>
    <t>QUADRO VII</t>
  </si>
  <si>
    <t>Alunos  com  Não Satisfaz nas ACND</t>
  </si>
  <si>
    <t>ÁREA PROJECTO</t>
  </si>
  <si>
    <t>ESTUDO ACOMPANHADO</t>
  </si>
  <si>
    <t>FORMAÇÃO CÍVICA</t>
  </si>
  <si>
    <t xml:space="preserve">Nº de alunos </t>
  </si>
  <si>
    <t xml:space="preserve">% de alunos </t>
  </si>
  <si>
    <t>TOTAL DE ALUNOS</t>
  </si>
  <si>
    <t>ANO</t>
  </si>
  <si>
    <t>QUADRO VIII</t>
  </si>
  <si>
    <t>QUADRO IX</t>
  </si>
  <si>
    <t>Nº de alunos que abandonaram a escola</t>
  </si>
  <si>
    <t>Taxa de Abandono</t>
  </si>
  <si>
    <t>QUADRO X</t>
  </si>
  <si>
    <t>LÍNGUA PORTUGUESA</t>
  </si>
  <si>
    <t>MATEMÁTICA</t>
  </si>
  <si>
    <t>Nº de alunos com apoio</t>
  </si>
  <si>
    <t>QUADRO XI</t>
  </si>
  <si>
    <t>LÍNGUA   PORTUGUESA</t>
  </si>
  <si>
    <t>CLASSIFICAÇÃO de FREQUÊNCIA</t>
  </si>
  <si>
    <t>PROVAS de AFERIÇÃO</t>
  </si>
  <si>
    <t xml:space="preserve">Nº de alunos com negativa </t>
  </si>
  <si>
    <t>% de alunos com negativa</t>
  </si>
  <si>
    <t>Nº de alunos com positiva</t>
  </si>
  <si>
    <t>% de alunos com positiva</t>
  </si>
  <si>
    <t>QUADRO XII</t>
  </si>
  <si>
    <t>QUADRO XIII</t>
  </si>
  <si>
    <t>EXAMES NACIONAIS</t>
  </si>
  <si>
    <t>QUADRO XIV</t>
  </si>
  <si>
    <t>ED. ART.</t>
  </si>
  <si>
    <t>QUADRO II</t>
  </si>
  <si>
    <t>0 NÍVEIS INFERIORES A 3</t>
  </si>
  <si>
    <t>1 NÍVEL INFERIOR A 3</t>
  </si>
  <si>
    <t>2 NÍVEIS INFERIORES A 3</t>
  </si>
  <si>
    <t>3 NÍVEIS INFERIORES A 3</t>
  </si>
  <si>
    <t>Nº de alunos</t>
  </si>
  <si>
    <t xml:space="preserve">% de alunos  </t>
  </si>
  <si>
    <t>QUADRO III</t>
  </si>
  <si>
    <t>L.PORT. + MATEMÁTICA</t>
  </si>
  <si>
    <t>MAIS DE 3 NÍVEIS INFERIORES A 3</t>
  </si>
  <si>
    <t>2.1 – QUALIDADE DA PROGRESSÃO DOS ALUNOS</t>
  </si>
  <si>
    <t>7º ANO</t>
  </si>
  <si>
    <t>8º ANO</t>
  </si>
  <si>
    <t>9ºANO</t>
  </si>
  <si>
    <t>L. P.</t>
  </si>
  <si>
    <t>MAT.</t>
  </si>
  <si>
    <t>L. P. E MAT.</t>
  </si>
  <si>
    <t>9º ANO</t>
  </si>
  <si>
    <t>GEOG</t>
  </si>
  <si>
    <t>ED ART</t>
  </si>
  <si>
    <t>APOIO PARA OS GRÁFICOS - NÃO IMPRIMIR</t>
  </si>
  <si>
    <t>MAT. APLIC.</t>
  </si>
  <si>
    <t>T.I.</t>
  </si>
  <si>
    <t>EXAME</t>
  </si>
  <si>
    <t>NEGATIVAS</t>
  </si>
  <si>
    <t>POSITIVAS</t>
  </si>
  <si>
    <t>CEF´S</t>
  </si>
  <si>
    <t>Nº de alunos  com Plano de Recuperação</t>
  </si>
  <si>
    <t>% de alunos  com Plano de Recuperação</t>
  </si>
  <si>
    <t>Nº de alunos  com Plano de Recuperação que Transitaram</t>
  </si>
  <si>
    <t>% de alunos  com Plano de Recuperação que Transitaram</t>
  </si>
  <si>
    <t>QUADRO XV</t>
  </si>
  <si>
    <t>Nº de dias de suspensão</t>
  </si>
  <si>
    <t>CEF'S</t>
  </si>
  <si>
    <t>a) Progressão com negativa a 0, 1, 2, 3 e mais disciplinas</t>
  </si>
  <si>
    <t>1º PERÍODO</t>
  </si>
  <si>
    <t>2º PERÍODO</t>
  </si>
  <si>
    <t>3º PERÍODO</t>
  </si>
  <si>
    <t>5º ANO</t>
  </si>
  <si>
    <t>6º ANO</t>
  </si>
  <si>
    <t>APOIO AOS GRÁFICOS - NÃO IMPRIMIR</t>
  </si>
  <si>
    <t>Curso</t>
  </si>
  <si>
    <t>Nº de alunos inscritos no início do ano lectivo</t>
  </si>
  <si>
    <t>Nº de alunos Excluídos por faltas</t>
  </si>
  <si>
    <t>Nº de alunos que anularam a matrícula</t>
  </si>
  <si>
    <t>CEF 1</t>
  </si>
  <si>
    <t>CEF 2</t>
  </si>
  <si>
    <t>O. I.</t>
  </si>
  <si>
    <t>Cab.</t>
  </si>
  <si>
    <t>----</t>
  </si>
  <si>
    <t>Nº de alunos com avaliação no final do ano</t>
  </si>
  <si>
    <t>QUADRO XVI</t>
  </si>
  <si>
    <t>I. Tic.</t>
  </si>
  <si>
    <t>Nº de alunos com suspensão</t>
  </si>
  <si>
    <t>Nº de alunos transferidos</t>
  </si>
  <si>
    <t>Total de Alunos com NEE</t>
  </si>
  <si>
    <t>Alunos que não transitaram</t>
  </si>
  <si>
    <t>Alunos que transitaram</t>
  </si>
  <si>
    <t>QUADRO XVII</t>
  </si>
  <si>
    <t>Total de alunos</t>
  </si>
  <si>
    <t>QUADRO XVIII</t>
  </si>
  <si>
    <t>Percentagem de alunos com dias de suspensão por ciclo</t>
  </si>
  <si>
    <t>Percentagem de alunos com dias de suspensão</t>
  </si>
  <si>
    <t>Média de dias de suspensão por aluno</t>
  </si>
  <si>
    <t>Ano Lectivo 2006/07</t>
  </si>
  <si>
    <t>Ano Lectivo 2007/08</t>
  </si>
  <si>
    <t>Classificação interna</t>
  </si>
  <si>
    <t>Prova de aferição/Exame</t>
  </si>
  <si>
    <r>
      <t xml:space="preserve">Percentagem de níveis inferiores a três a </t>
    </r>
    <r>
      <rPr>
        <b/>
        <sz val="12"/>
        <rFont val="Garamond"/>
        <family val="1"/>
      </rPr>
      <t>Matemática</t>
    </r>
  </si>
  <si>
    <r>
      <t xml:space="preserve">Percentagem de níveis inferiores a três a </t>
    </r>
    <r>
      <rPr>
        <b/>
        <sz val="12"/>
        <rFont val="Garamond"/>
        <family val="1"/>
      </rPr>
      <t>Língua Portuguesa</t>
    </r>
  </si>
  <si>
    <t>Ano Lectivo</t>
  </si>
  <si>
    <t>2006/07</t>
  </si>
  <si>
    <t>2007/08</t>
  </si>
  <si>
    <t>L.P.</t>
  </si>
  <si>
    <t>ING.</t>
  </si>
  <si>
    <t>H.G.P.</t>
  </si>
  <si>
    <t>GEOG.</t>
  </si>
  <si>
    <t>Percentagem de níveis inferiores a três</t>
  </si>
  <si>
    <t>C.N.</t>
  </si>
  <si>
    <t>F.Q.</t>
  </si>
  <si>
    <t>E.V.T./E.V.</t>
  </si>
  <si>
    <t>E.M./Ed. Art.</t>
  </si>
  <si>
    <t>E.T.</t>
  </si>
  <si>
    <t>E.F.</t>
  </si>
  <si>
    <t>Área de Proj.</t>
  </si>
  <si>
    <t>Estudo Acomp.</t>
  </si>
  <si>
    <t>Formação Cívica</t>
  </si>
  <si>
    <t>E.M.R.C.</t>
  </si>
  <si>
    <t>FR.</t>
  </si>
  <si>
    <t>Percentagem de dias de suspensão com dias de suspensão por ciclo</t>
  </si>
  <si>
    <t>Nº de dias de suspensão com dias de suspensão por ciclo</t>
  </si>
  <si>
    <t>Nº de alunos com dias de suspensão por ciclo</t>
  </si>
  <si>
    <t>QUADRO XIX</t>
  </si>
  <si>
    <t>Percentagem de alunos apoiados com sucesso</t>
  </si>
  <si>
    <t>---</t>
  </si>
  <si>
    <t>Percentagem de alunos que não transitaram</t>
  </si>
  <si>
    <t>QUADRO XX</t>
  </si>
  <si>
    <t>Total de Alunos com ASE</t>
  </si>
  <si>
    <t>Alunos com ASE que não transitaram</t>
  </si>
  <si>
    <t>Percentagem de alunos com ASE que não transitaram</t>
  </si>
  <si>
    <t>Alunos sem ASE que não transitaram</t>
  </si>
  <si>
    <t>Percentagem de alunos sem ASE que não transitaram</t>
  </si>
  <si>
    <t>CEF</t>
  </si>
  <si>
    <t>Média das notas</t>
  </si>
  <si>
    <t>MÉDIA DAS NOTAS DO 3ºCICLO</t>
  </si>
  <si>
    <t>MÉDIA DAS NOTAS DO 2ºCICLO</t>
  </si>
  <si>
    <t>QUADRO XXII</t>
  </si>
  <si>
    <t>Ano Lectivo 2008/09</t>
  </si>
  <si>
    <t>2008/09</t>
  </si>
  <si>
    <t>Percentagem de níveis NS</t>
  </si>
  <si>
    <t>Percentagem de dias de suspensão relativamente aos dias de aulas (170)</t>
  </si>
  <si>
    <t>Total de Alunos com níveis atribuidos</t>
  </si>
  <si>
    <t>QUADRO XXIII</t>
  </si>
  <si>
    <t>Percentagem de alunos que beneficiaram de apoio em relação aos indicados</t>
  </si>
  <si>
    <t>Alunos apoiados com sucesso</t>
  </si>
  <si>
    <t>CEF2 OI</t>
  </si>
  <si>
    <t>INGLÊS</t>
  </si>
  <si>
    <t>Nº de alunos apoiados com sucesso</t>
  </si>
  <si>
    <t>% de alunos apoiados com sucesso</t>
  </si>
  <si>
    <t>COMPARAÇÃO DO SUCESSO DE ALUNOS APOIADOS E DE ALUNOS NÃO APOIADOS</t>
  </si>
  <si>
    <t>PERCENTAGEM DE RETENÇÕES NO TRIÉNIO 2006 A 2009</t>
  </si>
  <si>
    <t>PERCENTAGEM DE ABANDONO ESCOLAR NO TRIÉNIO 2006 A 2009</t>
  </si>
  <si>
    <t>C.I.</t>
  </si>
  <si>
    <t>CI</t>
  </si>
  <si>
    <t>PORTUGUÊS</t>
  </si>
  <si>
    <t>Nº Total de alunos admitidos a exame</t>
  </si>
  <si>
    <t>Nº de alunos que realizaram a Prova</t>
  </si>
  <si>
    <t>FRANCÊS</t>
  </si>
  <si>
    <t>3.1- 2ºCICLO</t>
  </si>
  <si>
    <t>QUADRO IV</t>
  </si>
  <si>
    <t>3.2- 3ºCICLO</t>
  </si>
  <si>
    <t>3.2- 3ºCICLO (CONTINUAÇÃO)</t>
  </si>
  <si>
    <t xml:space="preserve">3.3- CEF's </t>
  </si>
  <si>
    <t>4 - MÉDIA DAS NOTAS POR DISCIPLINA, POR ANO E CICLO</t>
  </si>
  <si>
    <t>4.1. - 2º CICLO</t>
  </si>
  <si>
    <t>5- ÁREAS CURRICULARES NÃO DISCIPLINARES</t>
  </si>
  <si>
    <t>6– ALUNOS COM RETENÇÃO REPETIDA</t>
  </si>
  <si>
    <t>Nº de alunos retidos</t>
  </si>
  <si>
    <t>% de alunos  com retenção repetida em relação aos alunos retidos</t>
  </si>
  <si>
    <t>Nº de alunos  que ficaram retidos com retenção repetida</t>
  </si>
  <si>
    <r>
      <t xml:space="preserve">Encarregados de Educação </t>
    </r>
    <r>
      <rPr>
        <b/>
        <u/>
        <sz val="12"/>
        <rFont val="Garamond"/>
        <family val="1"/>
      </rPr>
      <t>presentes</t>
    </r>
  </si>
  <si>
    <r>
      <t xml:space="preserve">Encarregados de Educação </t>
    </r>
    <r>
      <rPr>
        <b/>
        <u/>
        <sz val="12"/>
        <rFont val="Garamond"/>
        <family val="1"/>
      </rPr>
      <t>ausentes</t>
    </r>
  </si>
  <si>
    <r>
      <t xml:space="preserve">Percentagem de Encarregados de Educação </t>
    </r>
    <r>
      <rPr>
        <b/>
        <u/>
        <sz val="11"/>
        <rFont val="Garamond"/>
        <family val="1"/>
      </rPr>
      <t>Ausentes</t>
    </r>
  </si>
  <si>
    <t>ALUNOS APOIADOS/ALUNOS APOIADOS COM SUCESSO</t>
  </si>
  <si>
    <t>MÉDIA DAS NOTAS POR DISCIPLINA - 3º CICLO (CONTINUAÇÃO)</t>
  </si>
  <si>
    <t>7 - ALUNOS COM PLANO DE RECUPERAÇÃO</t>
  </si>
  <si>
    <t>8 - PRESENÇA E AUSÊNCIA DOS ENCARREGADOS DE EDUCAÇÃO</t>
  </si>
  <si>
    <t>9 – PROCEDIMENTOS DISCIPLINARES</t>
  </si>
  <si>
    <t xml:space="preserve"> 10 – ANULAÇÃO DE MATRÍCULA/EXCLUÍDOS POR FALTAS/TRANSFERÊNCIAS NOS CEF'S</t>
  </si>
  <si>
    <t xml:space="preserve"> 11 – ABANDONO ESCOLAR</t>
  </si>
  <si>
    <t>12- APOIO EDUCATIVO</t>
  </si>
  <si>
    <t>13 - NECESSIDADES EDUCATIVAS ESPECIAIS</t>
  </si>
  <si>
    <t>14 - CLASSIFICAÇÃO DE FREQUÊNCIA/PROVAS DE AFERIÇÃO/EXAMES</t>
  </si>
  <si>
    <t>14. 2 EXAMES NACIONAIS – 9º ANO</t>
  </si>
  <si>
    <t>15 - ALUNOS COM A.S.E.</t>
  </si>
  <si>
    <t>16 - ALUNOS ESTRANGEIROS (PLNM)</t>
  </si>
  <si>
    <t>4.2 - MÉDIA DAS NOTAS POR DISCIPLINA - 3º CICLO</t>
  </si>
  <si>
    <t>Nº Total de Alunos</t>
  </si>
  <si>
    <t>14. 1 PROVAS DE AFERIÇÃO  - 6º ANO</t>
  </si>
  <si>
    <t>b) Progressão sem aproveitamento a Língua Portuguesa e/ou a Matemática</t>
  </si>
  <si>
    <t>9.1 - NÚMERO DE DIAS DE SUSPENSÃO</t>
  </si>
  <si>
    <t>9.2 - NÚMERO DE ALUNOS COM SUSPENSÃO</t>
  </si>
  <si>
    <r>
      <t xml:space="preserve">Total de Alunos </t>
    </r>
    <r>
      <rPr>
        <u/>
        <sz val="11"/>
        <rFont val="Garamond"/>
        <family val="1"/>
      </rPr>
      <t>indicados</t>
    </r>
    <r>
      <rPr>
        <sz val="11"/>
        <rFont val="Garamond"/>
        <family val="1"/>
      </rPr>
      <t xml:space="preserve"> para PLNM</t>
    </r>
  </si>
  <si>
    <r>
      <t xml:space="preserve">Alunos que </t>
    </r>
    <r>
      <rPr>
        <u/>
        <sz val="11"/>
        <rFont val="Garamond"/>
        <family val="1"/>
      </rPr>
      <t>beneficiaram</t>
    </r>
    <r>
      <rPr>
        <sz val="11"/>
        <rFont val="Garamond"/>
        <family val="1"/>
      </rPr>
      <t xml:space="preserve"> de APOIO A PLNM</t>
    </r>
  </si>
  <si>
    <r>
      <t xml:space="preserve">Alunos </t>
    </r>
    <r>
      <rPr>
        <b/>
        <u/>
        <sz val="11"/>
        <rFont val="Garamond"/>
        <family val="1"/>
      </rPr>
      <t>não</t>
    </r>
    <r>
      <rPr>
        <sz val="11"/>
        <rFont val="Garamond"/>
        <family val="1"/>
      </rPr>
      <t xml:space="preserve"> apoiados com sucesso</t>
    </r>
  </si>
  <si>
    <r>
      <t xml:space="preserve">Percentagem de alunos </t>
    </r>
    <r>
      <rPr>
        <b/>
        <u/>
        <sz val="11"/>
        <rFont val="Garamond"/>
        <family val="1"/>
      </rPr>
      <t xml:space="preserve">não </t>
    </r>
    <r>
      <rPr>
        <sz val="11"/>
        <rFont val="Garamond"/>
        <family val="1"/>
      </rPr>
      <t>apoiados com sucesso</t>
    </r>
  </si>
  <si>
    <t>port</t>
  </si>
  <si>
    <t>mat</t>
  </si>
  <si>
    <t>ing</t>
  </si>
  <si>
    <t>QUADRO V</t>
  </si>
  <si>
    <t>QUADRO V (CONT.)</t>
  </si>
  <si>
    <t>QUADRO IV - CEF’s</t>
  </si>
  <si>
    <t>QUADRO VI - CEF’s (CONT.)</t>
  </si>
  <si>
    <t>QUADRO VIII (CONT.)</t>
  </si>
  <si>
    <t>QUADRO XXI</t>
  </si>
  <si>
    <t>QUADRO XXIV</t>
  </si>
  <si>
    <t>PERCENTAGEM DE INSUCESSO EM CADA DISCIPLINA NO TRIÉNIO 2006 A 2009</t>
  </si>
  <si>
    <t>ANÁLISE DA AVALIAÇÃO INTERNA E EXTERNA A MATEMÁTICA, NO TRIÉNIO 2006 A 2009</t>
  </si>
  <si>
    <t>ANÁLISE DA AVALIAÇÃO INTERNA E EXTERNA A L. PORTUGUESA, NO TRIÉNIO 2006 A 2009</t>
  </si>
  <si>
    <t>SUCESSO DOS ALUNOS COM APOIO PEDAGÓGICO ACRESCIDO NO TRIÉNIO 2006 A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</si>
</sst>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9" x14ac:knownFonts="1">
    <font>
      <sz val="10"/>
      <name val="Arial"/>
    </font>
    <font>
      <b/>
      <sz val="12"/>
      <name val="Garamond"/>
      <family val="1"/>
    </font>
    <font>
      <b/>
      <u/>
      <sz val="12"/>
      <name val="Garamond"/>
      <family val="1"/>
    </font>
    <font>
      <sz val="10"/>
      <name val="Garamond"/>
      <family val="1"/>
    </font>
    <font>
      <b/>
      <sz val="10"/>
      <name val="Garamond"/>
      <family val="1"/>
    </font>
    <font>
      <b/>
      <sz val="8"/>
      <name val="Garamond"/>
      <family val="1"/>
    </font>
    <font>
      <sz val="8"/>
      <name val="Arial"/>
      <family val="2"/>
    </font>
    <font>
      <sz val="12"/>
      <name val="Garamond"/>
      <family val="1"/>
    </font>
    <font>
      <sz val="14"/>
      <name val="Garamond"/>
      <family val="1"/>
    </font>
    <font>
      <sz val="10"/>
      <name val="Arial"/>
      <family val="2"/>
    </font>
    <font>
      <b/>
      <sz val="18"/>
      <name val="Arial"/>
      <family val="2"/>
    </font>
    <font>
      <b/>
      <sz val="10"/>
      <name val="Arial"/>
      <family val="2"/>
    </font>
    <font>
      <sz val="18"/>
      <name val="Garamond"/>
      <family val="1"/>
    </font>
    <font>
      <b/>
      <u/>
      <sz val="16"/>
      <name val="Calibri"/>
      <family val="2"/>
    </font>
    <font>
      <b/>
      <sz val="16"/>
      <name val="Calibri"/>
      <family val="2"/>
    </font>
    <font>
      <sz val="12"/>
      <name val="Calibri"/>
      <family val="2"/>
    </font>
    <font>
      <sz val="12"/>
      <name val="Lucida Sans Unicode"/>
      <family val="2"/>
    </font>
    <font>
      <sz val="18"/>
      <name val="Lucida Sans Unicode"/>
      <family val="2"/>
    </font>
    <font>
      <b/>
      <sz val="14"/>
      <name val="Garamond"/>
      <family val="1"/>
    </font>
    <font>
      <sz val="11"/>
      <name val="Garamond"/>
      <family val="1"/>
    </font>
    <font>
      <b/>
      <sz val="11"/>
      <name val="Garamond"/>
      <family val="1"/>
    </font>
    <font>
      <b/>
      <u/>
      <sz val="12"/>
      <name val="Arial"/>
      <family val="2"/>
    </font>
    <font>
      <b/>
      <u/>
      <sz val="11"/>
      <name val="Garamond"/>
      <family val="1"/>
    </font>
    <font>
      <i/>
      <sz val="12"/>
      <name val="Garamond"/>
      <family val="1"/>
    </font>
    <font>
      <i/>
      <sz val="10"/>
      <name val="Arial"/>
      <family val="2"/>
    </font>
    <font>
      <sz val="12"/>
      <name val="Arial"/>
      <family val="2"/>
    </font>
    <font>
      <b/>
      <i/>
      <sz val="12"/>
      <name val="Garamond"/>
      <family val="1"/>
    </font>
    <font>
      <u/>
      <sz val="11"/>
      <name val="Garamond"/>
      <family val="1"/>
    </font>
    <font>
      <sz val="14"/>
      <name val="Arial"/>
      <family val="2"/>
    </font>
  </fonts>
  <fills count="2">
    <fill>
      <patternFill patternType="none"/>
    </fill>
    <fill>
      <patternFill patternType="gray125"/>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double">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medium">
        <color indexed="64"/>
      </bottom>
      <diagonal/>
    </border>
  </borders>
  <cellStyleXfs count="1">
    <xf numFmtId="0" fontId="0" fillId="0" borderId="0"/>
  </cellStyleXfs>
  <cellXfs count="304">
    <xf numFmtId="0" fontId="0" fillId="0" borderId="0" xfId="0"/>
    <xf numFmtId="0" fontId="1" fillId="0" borderId="0" xfId="0" applyFont="1"/>
    <xf numFmtId="0" fontId="1" fillId="0" borderId="0" xfId="0" applyFont="1" applyAlignment="1">
      <alignment horizontal="center"/>
    </xf>
    <xf numFmtId="0" fontId="2" fillId="0" borderId="0" xfId="0" applyFont="1"/>
    <xf numFmtId="0" fontId="3" fillId="0" borderId="0" xfId="0" applyFont="1" applyAlignment="1">
      <alignment horizontal="center" vertical="top" wrapText="1"/>
    </xf>
    <xf numFmtId="0" fontId="3" fillId="0" borderId="6" xfId="0" applyFont="1" applyBorder="1" applyAlignment="1">
      <alignment horizontal="center" vertical="top" wrapText="1"/>
    </xf>
    <xf numFmtId="0" fontId="1" fillId="0" borderId="3" xfId="0" applyFont="1" applyBorder="1" applyAlignment="1">
      <alignment horizontal="center" vertical="top" wrapText="1"/>
    </xf>
    <xf numFmtId="0" fontId="1" fillId="0" borderId="6" xfId="0" applyFont="1" applyBorder="1" applyAlignment="1">
      <alignment horizontal="center" vertical="top" wrapText="1"/>
    </xf>
    <xf numFmtId="0" fontId="1" fillId="0" borderId="0" xfId="0" applyFont="1" applyAlignment="1">
      <alignment horizontal="justify"/>
    </xf>
    <xf numFmtId="0" fontId="1" fillId="0" borderId="5" xfId="0" applyFont="1" applyBorder="1" applyAlignment="1">
      <alignment horizontal="center" vertical="top" wrapText="1"/>
    </xf>
    <xf numFmtId="0" fontId="0" fillId="0" borderId="0" xfId="0" applyBorder="1"/>
    <xf numFmtId="0" fontId="4" fillId="0" borderId="6" xfId="0" applyFont="1" applyBorder="1" applyAlignment="1">
      <alignment horizontal="center" vertical="top" wrapText="1"/>
    </xf>
    <xf numFmtId="0" fontId="1" fillId="0" borderId="9" xfId="0" applyFont="1" applyBorder="1" applyAlignment="1">
      <alignment horizontal="center" vertical="top" wrapText="1"/>
    </xf>
    <xf numFmtId="0" fontId="7" fillId="0" borderId="0" xfId="0" applyFont="1"/>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10" fontId="0" fillId="0" borderId="0" xfId="0" applyNumberFormat="1"/>
    <xf numFmtId="0" fontId="0" fillId="0" borderId="0" xfId="0" applyNumberFormat="1"/>
    <xf numFmtId="9" fontId="0" fillId="0" borderId="0" xfId="0" applyNumberFormat="1"/>
    <xf numFmtId="0" fontId="0" fillId="0" borderId="0" xfId="0" applyAlignment="1">
      <alignment horizontal="center"/>
    </xf>
    <xf numFmtId="10" fontId="1" fillId="0" borderId="0" xfId="0" applyNumberFormat="1" applyFont="1" applyBorder="1" applyAlignment="1">
      <alignment horizontal="center" vertical="top" wrapText="1"/>
    </xf>
    <xf numFmtId="0" fontId="5" fillId="0" borderId="3" xfId="0" applyFont="1" applyBorder="1" applyAlignment="1">
      <alignment horizontal="center" vertical="center" wrapText="1"/>
    </xf>
    <xf numFmtId="0" fontId="1" fillId="0" borderId="6" xfId="0" applyFont="1" applyBorder="1" applyAlignment="1">
      <alignment horizontal="center" vertical="center" wrapText="1"/>
    </xf>
    <xf numFmtId="10" fontId="1" fillId="0" borderId="6" xfId="0" applyNumberFormat="1" applyFont="1" applyBorder="1" applyAlignment="1">
      <alignment horizontal="center" vertical="center" wrapText="1"/>
    </xf>
    <xf numFmtId="0" fontId="3" fillId="0" borderId="9" xfId="0" applyFont="1" applyBorder="1" applyAlignment="1">
      <alignment vertical="top" wrapText="1"/>
    </xf>
    <xf numFmtId="0" fontId="3" fillId="0" borderId="0" xfId="0" applyFont="1" applyBorder="1" applyAlignment="1">
      <alignment vertical="top" wrapText="1"/>
    </xf>
    <xf numFmtId="0" fontId="5" fillId="0" borderId="0" xfId="0" applyFont="1" applyBorder="1" applyAlignment="1">
      <alignment horizontal="center" vertical="center" wrapText="1"/>
    </xf>
    <xf numFmtId="0" fontId="1" fillId="0" borderId="0" xfId="0" applyFont="1" applyBorder="1" applyAlignment="1">
      <alignment horizontal="center" vertical="center" wrapText="1"/>
    </xf>
    <xf numFmtId="10" fontId="1" fillId="0" borderId="0"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Border="1" applyAlignment="1">
      <alignment vertical="center" wrapText="1"/>
    </xf>
    <xf numFmtId="10" fontId="7" fillId="0" borderId="0" xfId="0" applyNumberFormat="1" applyFont="1" applyBorder="1" applyAlignment="1">
      <alignment horizontal="center" vertical="top" wrapText="1"/>
    </xf>
    <xf numFmtId="164" fontId="1" fillId="0" borderId="6" xfId="0" applyNumberFormat="1" applyFont="1" applyBorder="1" applyAlignment="1">
      <alignment horizontal="center" vertical="top" wrapText="1"/>
    </xf>
    <xf numFmtId="164" fontId="1" fillId="0" borderId="12" xfId="0" applyNumberFormat="1" applyFont="1" applyBorder="1" applyAlignment="1">
      <alignment horizontal="center" vertical="top" wrapText="1"/>
    </xf>
    <xf numFmtId="164" fontId="0" fillId="0" borderId="0" xfId="0" applyNumberFormat="1"/>
    <xf numFmtId="0" fontId="4" fillId="0" borderId="13" xfId="0" applyFont="1" applyBorder="1" applyAlignment="1">
      <alignment horizontal="center" vertical="top" wrapText="1"/>
    </xf>
    <xf numFmtId="0" fontId="1" fillId="0" borderId="13" xfId="0" applyFont="1" applyBorder="1" applyAlignment="1">
      <alignment horizontal="center" vertical="top" wrapText="1"/>
    </xf>
    <xf numFmtId="164" fontId="1" fillId="0" borderId="13" xfId="0" applyNumberFormat="1" applyFont="1" applyBorder="1" applyAlignment="1">
      <alignment horizontal="center" vertical="top" wrapText="1"/>
    </xf>
    <xf numFmtId="164" fontId="1" fillId="0" borderId="8" xfId="0" applyNumberFormat="1" applyFont="1" applyBorder="1" applyAlignment="1">
      <alignment horizontal="center"/>
    </xf>
    <xf numFmtId="10" fontId="0" fillId="0" borderId="0" xfId="0" applyNumberFormat="1" applyBorder="1"/>
    <xf numFmtId="0" fontId="11" fillId="0" borderId="0" xfId="0" applyFont="1"/>
    <xf numFmtId="0" fontId="11" fillId="0" borderId="8" xfId="0" applyFont="1" applyBorder="1" applyAlignment="1">
      <alignment horizontal="center"/>
    </xf>
    <xf numFmtId="0" fontId="3" fillId="0"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0" borderId="8" xfId="0" applyFont="1" applyBorder="1" applyAlignment="1">
      <alignment horizontal="center" vertical="center"/>
    </xf>
    <xf numFmtId="164" fontId="11" fillId="0" borderId="8" xfId="0" applyNumberFormat="1" applyFont="1" applyBorder="1" applyAlignment="1">
      <alignment horizontal="center"/>
    </xf>
    <xf numFmtId="165" fontId="11" fillId="0" borderId="8" xfId="0" applyNumberFormat="1" applyFont="1" applyBorder="1" applyAlignment="1">
      <alignment horizontal="center"/>
    </xf>
    <xf numFmtId="0" fontId="1" fillId="0" borderId="15" xfId="0" applyFont="1" applyBorder="1" applyAlignment="1">
      <alignment horizontal="center" vertical="top" wrapText="1"/>
    </xf>
    <xf numFmtId="0" fontId="7" fillId="0" borderId="8" xfId="0" applyFont="1" applyBorder="1" applyAlignment="1">
      <alignment horizontal="center" vertical="center" wrapText="1"/>
    </xf>
    <xf numFmtId="0" fontId="1" fillId="0" borderId="8" xfId="0" applyFont="1" applyBorder="1" applyAlignment="1">
      <alignment horizontal="center" vertical="center" wrapText="1"/>
    </xf>
    <xf numFmtId="164" fontId="1" fillId="0" borderId="8" xfId="0" applyNumberFormat="1" applyFont="1" applyBorder="1" applyAlignment="1">
      <alignment horizontal="center" vertical="center"/>
    </xf>
    <xf numFmtId="164" fontId="1" fillId="0" borderId="8" xfId="0" applyNumberFormat="1" applyFont="1" applyBorder="1" applyAlignment="1">
      <alignment horizontal="center" vertical="center" wrapText="1"/>
    </xf>
    <xf numFmtId="0" fontId="1" fillId="0" borderId="0" xfId="0" applyFont="1" applyAlignment="1"/>
    <xf numFmtId="0" fontId="0" fillId="0" borderId="8" xfId="0" applyBorder="1"/>
    <xf numFmtId="164" fontId="0" fillId="0" borderId="8" xfId="0" applyNumberFormat="1" applyBorder="1" applyAlignment="1">
      <alignment horizontal="center" vertical="center"/>
    </xf>
    <xf numFmtId="164" fontId="0" fillId="0" borderId="16"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7" xfId="0" quotePrefix="1" applyNumberFormat="1" applyBorder="1" applyAlignment="1">
      <alignment horizontal="center" vertical="center"/>
    </xf>
    <xf numFmtId="164" fontId="0" fillId="0" borderId="8" xfId="0" quotePrefix="1" applyNumberFormat="1" applyBorder="1" applyAlignment="1">
      <alignment horizontal="center" vertical="center"/>
    </xf>
    <xf numFmtId="164" fontId="0" fillId="0" borderId="16" xfId="0" quotePrefix="1" applyNumberFormat="1" applyBorder="1" applyAlignment="1">
      <alignment horizontal="center" vertical="center"/>
    </xf>
    <xf numFmtId="0" fontId="11" fillId="0" borderId="18" xfId="0" applyNumberFormat="1" applyFont="1" applyBorder="1" applyAlignment="1">
      <alignment horizontal="center" vertical="center"/>
    </xf>
    <xf numFmtId="164" fontId="1" fillId="0" borderId="16" xfId="0" applyNumberFormat="1" applyFont="1" applyBorder="1" applyAlignment="1">
      <alignment horizontal="center" vertical="center"/>
    </xf>
    <xf numFmtId="164" fontId="1" fillId="0" borderId="17" xfId="0" applyNumberFormat="1" applyFont="1" applyBorder="1" applyAlignment="1">
      <alignment horizontal="center" vertical="center"/>
    </xf>
    <xf numFmtId="164" fontId="1" fillId="0" borderId="16" xfId="0" quotePrefix="1" applyNumberFormat="1" applyFont="1" applyBorder="1" applyAlignment="1">
      <alignment horizontal="center" vertical="center"/>
    </xf>
    <xf numFmtId="164" fontId="1" fillId="0" borderId="8" xfId="0" quotePrefix="1"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vertical="center" wrapText="1"/>
    </xf>
    <xf numFmtId="0" fontId="7" fillId="0" borderId="0" xfId="0" applyFont="1" applyAlignment="1">
      <alignment vertical="top" wrapText="1"/>
    </xf>
    <xf numFmtId="2" fontId="1" fillId="0" borderId="6" xfId="0" applyNumberFormat="1" applyFont="1" applyBorder="1" applyAlignment="1">
      <alignment horizontal="center" vertical="center" wrapText="1"/>
    </xf>
    <xf numFmtId="10" fontId="1" fillId="0" borderId="8" xfId="0" applyNumberFormat="1" applyFont="1" applyBorder="1" applyAlignment="1">
      <alignment horizontal="center" vertical="center"/>
    </xf>
    <xf numFmtId="164" fontId="9" fillId="0" borderId="8" xfId="0" applyNumberFormat="1" applyFont="1" applyBorder="1" applyAlignment="1">
      <alignment horizontal="center" vertical="center"/>
    </xf>
    <xf numFmtId="0" fontId="0" fillId="0" borderId="16" xfId="0" quotePrefix="1" applyNumberFormat="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vertical="top" wrapText="1"/>
    </xf>
    <xf numFmtId="0" fontId="7" fillId="0" borderId="8" xfId="0" applyFont="1" applyBorder="1" applyAlignment="1">
      <alignment horizontal="center" vertical="center" wrapText="1"/>
    </xf>
    <xf numFmtId="0" fontId="7" fillId="0" borderId="0" xfId="0" applyFont="1" applyAlignment="1">
      <alignment vertical="top" wrapText="1"/>
    </xf>
    <xf numFmtId="0" fontId="1" fillId="0" borderId="8" xfId="0" quotePrefix="1" applyFont="1" applyBorder="1" applyAlignment="1">
      <alignment horizontal="center" vertical="center"/>
    </xf>
    <xf numFmtId="0" fontId="13" fillId="0" borderId="0" xfId="0" applyFont="1"/>
    <xf numFmtId="0" fontId="14" fillId="0" borderId="0" xfId="0" applyFont="1"/>
    <xf numFmtId="0" fontId="15" fillId="0" borderId="0" xfId="0" applyFont="1"/>
    <xf numFmtId="0" fontId="1" fillId="0" borderId="0" xfId="0" applyFont="1" applyBorder="1" applyAlignment="1"/>
    <xf numFmtId="0" fontId="11" fillId="0" borderId="0" xfId="0" applyFont="1" applyAlignment="1"/>
    <xf numFmtId="0" fontId="12" fillId="0" borderId="0" xfId="0" applyFont="1" applyAlignment="1">
      <alignment vertical="top" wrapText="1"/>
    </xf>
    <xf numFmtId="0" fontId="12" fillId="0" borderId="0" xfId="0" applyFont="1" applyAlignment="1">
      <alignment vertical="center" wrapText="1"/>
    </xf>
    <xf numFmtId="0" fontId="16" fillId="0" borderId="0" xfId="0" applyFont="1" applyAlignment="1"/>
    <xf numFmtId="0" fontId="16" fillId="0" borderId="0" xfId="0" applyFont="1" applyFill="1" applyBorder="1" applyAlignment="1"/>
    <xf numFmtId="2" fontId="1" fillId="0" borderId="0" xfId="0" applyNumberFormat="1" applyFont="1" applyBorder="1" applyAlignment="1">
      <alignment horizontal="center" vertical="center" wrapText="1"/>
    </xf>
    <xf numFmtId="0" fontId="1" fillId="0" borderId="6" xfId="0" applyFont="1" applyBorder="1" applyAlignment="1">
      <alignment horizontal="center" vertical="top" wrapText="1"/>
    </xf>
    <xf numFmtId="16" fontId="0" fillId="0" borderId="0" xfId="0" applyNumberFormat="1"/>
    <xf numFmtId="0" fontId="4" fillId="0" borderId="8" xfId="0" applyFont="1" applyBorder="1" applyAlignment="1">
      <alignment horizontal="center" vertical="center" wrapText="1"/>
    </xf>
    <xf numFmtId="0" fontId="1" fillId="0" borderId="0" xfId="0" applyFont="1" applyAlignment="1">
      <alignment horizontal="left"/>
    </xf>
    <xf numFmtId="0" fontId="11" fillId="0" borderId="0" xfId="0" applyFont="1" applyAlignment="1">
      <alignment horizontal="center"/>
    </xf>
    <xf numFmtId="0" fontId="0" fillId="0" borderId="0" xfId="0" applyAlignment="1">
      <alignment vertical="center"/>
    </xf>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164" fontId="18" fillId="0" borderId="6" xfId="0" applyNumberFormat="1" applyFont="1" applyBorder="1" applyAlignment="1">
      <alignment horizontal="center" vertical="center" wrapText="1"/>
    </xf>
    <xf numFmtId="0" fontId="0" fillId="0" borderId="0" xfId="0" applyBorder="1" applyAlignment="1">
      <alignment vertical="center"/>
    </xf>
    <xf numFmtId="10" fontId="0" fillId="0" borderId="0" xfId="0" applyNumberFormat="1" applyBorder="1" applyAlignment="1">
      <alignment vertical="center"/>
    </xf>
    <xf numFmtId="0" fontId="1" fillId="0" borderId="6"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left"/>
    </xf>
    <xf numFmtId="0" fontId="3" fillId="0" borderId="1" xfId="0" applyFont="1" applyBorder="1" applyAlignment="1">
      <alignment horizontal="center" vertical="center" wrapText="1"/>
    </xf>
    <xf numFmtId="0" fontId="3" fillId="0" borderId="9" xfId="0" applyFont="1" applyBorder="1" applyAlignment="1">
      <alignment horizontal="center" vertical="top" wrapText="1"/>
    </xf>
    <xf numFmtId="10" fontId="0" fillId="0" borderId="0" xfId="0" applyNumberFormat="1" applyAlignment="1">
      <alignment vertical="center"/>
    </xf>
    <xf numFmtId="0" fontId="1" fillId="0" borderId="6" xfId="0" quotePrefix="1" applyFont="1" applyBorder="1" applyAlignment="1">
      <alignment horizontal="center" vertical="center" wrapText="1"/>
    </xf>
    <xf numFmtId="10" fontId="1" fillId="0" borderId="6" xfId="0" quotePrefix="1" applyNumberFormat="1" applyFont="1" applyBorder="1" applyAlignment="1">
      <alignment horizontal="center" vertical="center" wrapText="1"/>
    </xf>
    <xf numFmtId="0" fontId="3" fillId="0" borderId="6" xfId="0" applyFont="1" applyBorder="1" applyAlignment="1">
      <alignment vertical="center" wrapText="1"/>
    </xf>
    <xf numFmtId="0" fontId="3" fillId="0" borderId="0" xfId="0" applyFont="1" applyAlignment="1">
      <alignment vertical="top" wrapText="1"/>
    </xf>
    <xf numFmtId="0" fontId="9" fillId="0" borderId="0" xfId="0" applyFont="1"/>
    <xf numFmtId="0" fontId="20" fillId="0" borderId="3" xfId="0" applyFont="1" applyBorder="1" applyAlignment="1">
      <alignment horizontal="center" vertical="center" wrapText="1"/>
    </xf>
    <xf numFmtId="0" fontId="20" fillId="0" borderId="8" xfId="0" applyFont="1" applyBorder="1" applyAlignment="1">
      <alignment horizontal="center" vertical="center"/>
    </xf>
    <xf numFmtId="0" fontId="20" fillId="0" borderId="6" xfId="0" applyFont="1" applyBorder="1" applyAlignment="1">
      <alignment horizontal="center" vertical="center" wrapText="1"/>
    </xf>
    <xf numFmtId="10" fontId="20" fillId="0" borderId="6" xfId="0" applyNumberFormat="1"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10" fontId="20" fillId="0" borderId="8" xfId="0" applyNumberFormat="1" applyFont="1" applyBorder="1" applyAlignment="1">
      <alignment horizontal="center" vertical="center" wrapText="1"/>
    </xf>
    <xf numFmtId="10" fontId="20" fillId="0" borderId="7" xfId="0" applyNumberFormat="1" applyFont="1" applyBorder="1" applyAlignment="1">
      <alignment horizontal="center" vertical="center" wrapText="1"/>
    </xf>
    <xf numFmtId="2" fontId="1" fillId="0" borderId="6"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8" xfId="0" applyNumberFormat="1" applyFont="1" applyBorder="1" applyAlignment="1">
      <alignment horizontal="center" vertical="center"/>
    </xf>
    <xf numFmtId="164" fontId="11" fillId="0" borderId="8" xfId="0" applyNumberFormat="1" applyFont="1" applyBorder="1" applyAlignment="1">
      <alignment horizontal="center" vertical="center"/>
    </xf>
    <xf numFmtId="0" fontId="7" fillId="0" borderId="11" xfId="0" applyFont="1" applyBorder="1" applyAlignment="1">
      <alignment horizontal="center" vertical="center" wrapText="1"/>
    </xf>
    <xf numFmtId="0" fontId="7" fillId="0" borderId="0" xfId="0" applyFont="1" applyBorder="1" applyAlignment="1">
      <alignment vertical="top" wrapText="1"/>
    </xf>
    <xf numFmtId="0" fontId="7" fillId="0" borderId="9" xfId="0" applyFont="1" applyBorder="1" applyAlignment="1">
      <alignment vertical="top" wrapText="1"/>
    </xf>
    <xf numFmtId="0" fontId="7" fillId="0" borderId="0" xfId="0" applyFont="1" applyAlignment="1">
      <alignment vertical="center"/>
    </xf>
    <xf numFmtId="0" fontId="21" fillId="0" borderId="0" xfId="0" applyFont="1"/>
    <xf numFmtId="0" fontId="7" fillId="0" borderId="7" xfId="0" applyFont="1" applyBorder="1" applyAlignment="1">
      <alignment horizontal="center" vertical="center" wrapText="1"/>
    </xf>
    <xf numFmtId="0" fontId="1" fillId="0" borderId="0" xfId="0" applyFont="1" applyBorder="1" applyAlignment="1">
      <alignment vertical="center"/>
    </xf>
    <xf numFmtId="0" fontId="11" fillId="0" borderId="0" xfId="0" applyFont="1" applyAlignment="1">
      <alignment vertical="center"/>
    </xf>
    <xf numFmtId="0" fontId="7" fillId="0" borderId="0" xfId="0" applyFont="1" applyBorder="1" applyAlignment="1">
      <alignment vertical="center" wrapText="1"/>
    </xf>
    <xf numFmtId="0" fontId="2" fillId="0" borderId="0" xfId="0" applyFont="1" applyAlignment="1">
      <alignment vertical="center"/>
    </xf>
    <xf numFmtId="0" fontId="3" fillId="0" borderId="9" xfId="0" applyFont="1" applyBorder="1" applyAlignment="1">
      <alignment horizontal="center" vertical="center" wrapText="1"/>
    </xf>
    <xf numFmtId="0" fontId="16" fillId="0" borderId="0" xfId="0" applyFont="1" applyAlignment="1">
      <alignment vertical="center"/>
    </xf>
    <xf numFmtId="164" fontId="1" fillId="0" borderId="6"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8" xfId="0" applyFont="1" applyFill="1" applyBorder="1" applyAlignment="1">
      <alignment horizontal="center" vertical="center"/>
    </xf>
    <xf numFmtId="0" fontId="7" fillId="0" borderId="8" xfId="0" applyFont="1" applyFill="1" applyBorder="1" applyAlignment="1">
      <alignment horizontal="center" vertical="center" wrapText="1"/>
    </xf>
    <xf numFmtId="0" fontId="11" fillId="0" borderId="8" xfId="0" applyFont="1" applyBorder="1" applyAlignment="1">
      <alignment horizontal="center" vertical="center"/>
    </xf>
    <xf numFmtId="165" fontId="11" fillId="0" borderId="8" xfId="0" applyNumberFormat="1" applyFont="1" applyBorder="1" applyAlignment="1">
      <alignment horizontal="center" vertical="center"/>
    </xf>
    <xf numFmtId="0" fontId="7" fillId="0" borderId="18" xfId="0" applyFont="1" applyFill="1" applyBorder="1" applyAlignment="1">
      <alignment horizontal="center" vertical="center" wrapText="1"/>
    </xf>
    <xf numFmtId="0" fontId="24" fillId="0" borderId="0" xfId="0" applyFont="1"/>
    <xf numFmtId="0" fontId="23" fillId="0" borderId="0" xfId="0" applyFont="1" applyAlignment="1">
      <alignment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10" fontId="7" fillId="0" borderId="12" xfId="0" applyNumberFormat="1" applyFont="1" applyBorder="1" applyAlignment="1">
      <alignment horizontal="center" vertical="center" wrapText="1"/>
    </xf>
    <xf numFmtId="10" fontId="7" fillId="0" borderId="6" xfId="0" applyNumberFormat="1" applyFont="1" applyBorder="1" applyAlignment="1">
      <alignment horizontal="center" vertical="center" wrapText="1"/>
    </xf>
    <xf numFmtId="0" fontId="8" fillId="0" borderId="0" xfId="0" applyFont="1" applyAlignment="1">
      <alignment vertical="top" wrapText="1"/>
    </xf>
    <xf numFmtId="0" fontId="1" fillId="0" borderId="6" xfId="0" applyNumberFormat="1" applyFont="1" applyBorder="1" applyAlignment="1">
      <alignment horizontal="center" vertical="center" wrapText="1"/>
    </xf>
    <xf numFmtId="10" fontId="1" fillId="0" borderId="8"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1" fillId="0" borderId="6" xfId="0" applyFont="1" applyBorder="1" applyAlignment="1">
      <alignment horizontal="center" vertical="top" wrapText="1"/>
    </xf>
    <xf numFmtId="0" fontId="1" fillId="0" borderId="20" xfId="0" applyFont="1" applyBorder="1" applyAlignment="1">
      <alignment horizontal="center" vertical="top" wrapText="1"/>
    </xf>
    <xf numFmtId="0" fontId="1" fillId="0" borderId="0" xfId="0" applyFont="1" applyAlignment="1">
      <alignment horizontal="center"/>
    </xf>
    <xf numFmtId="0" fontId="25" fillId="0" borderId="0" xfId="0" applyFont="1"/>
    <xf numFmtId="2" fontId="1" fillId="0" borderId="6" xfId="0" quotePrefix="1" applyNumberFormat="1" applyFont="1" applyBorder="1" applyAlignment="1">
      <alignment horizontal="center" vertical="center" wrapText="1"/>
    </xf>
    <xf numFmtId="0" fontId="1" fillId="0" borderId="15" xfId="0" applyFont="1" applyBorder="1" applyAlignment="1">
      <alignment horizontal="center" vertical="center" wrapText="1"/>
    </xf>
    <xf numFmtId="0" fontId="3" fillId="0" borderId="0" xfId="0" applyFont="1" applyFill="1" applyBorder="1" applyAlignment="1">
      <alignment horizontal="center" vertical="center" wrapText="1"/>
    </xf>
    <xf numFmtId="0" fontId="19" fillId="0" borderId="6" xfId="0" applyFont="1" applyBorder="1" applyAlignment="1">
      <alignment horizontal="center" vertical="center" wrapText="1"/>
    </xf>
    <xf numFmtId="0" fontId="17" fillId="0" borderId="0" xfId="0" applyFont="1" applyAlignment="1">
      <alignment vertical="top" wrapText="1"/>
    </xf>
    <xf numFmtId="164" fontId="1" fillId="0" borderId="12" xfId="0" applyNumberFormat="1" applyFont="1" applyBorder="1" applyAlignment="1">
      <alignment horizontal="center" vertical="center" wrapText="1"/>
    </xf>
    <xf numFmtId="0" fontId="7" fillId="0" borderId="0" xfId="0" applyFont="1" applyAlignment="1">
      <alignment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top" wrapText="1"/>
    </xf>
    <xf numFmtId="0" fontId="26" fillId="0" borderId="20" xfId="0" applyFont="1" applyBorder="1" applyAlignment="1">
      <alignment horizontal="center" vertical="top" wrapText="1"/>
    </xf>
    <xf numFmtId="0" fontId="19" fillId="0" borderId="20" xfId="0" applyFont="1" applyBorder="1" applyAlignment="1">
      <alignment horizontal="center" vertical="top" wrapText="1"/>
    </xf>
    <xf numFmtId="164" fontId="1" fillId="0" borderId="20" xfId="0" applyNumberFormat="1" applyFont="1" applyBorder="1" applyAlignment="1">
      <alignment horizontal="center" vertical="center" wrapText="1"/>
    </xf>
    <xf numFmtId="164" fontId="1" fillId="0" borderId="20" xfId="0" applyNumberFormat="1" applyFont="1" applyBorder="1" applyAlignment="1">
      <alignment horizontal="center" vertical="top" wrapText="1"/>
    </xf>
    <xf numFmtId="0" fontId="1" fillId="0" borderId="7" xfId="0" applyFont="1" applyBorder="1" applyAlignment="1">
      <alignment horizontal="center" vertical="center" wrapText="1"/>
    </xf>
    <xf numFmtId="10" fontId="1" fillId="0" borderId="7" xfId="0" applyNumberFormat="1" applyFont="1" applyBorder="1" applyAlignment="1">
      <alignment horizontal="center" vertical="center" wrapText="1"/>
    </xf>
    <xf numFmtId="0" fontId="9" fillId="0" borderId="0" xfId="0" applyFont="1" applyAlignment="1">
      <alignment vertical="center"/>
    </xf>
    <xf numFmtId="0" fontId="3" fillId="0" borderId="0" xfId="0" applyFont="1" applyAlignment="1">
      <alignment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1" fillId="0" borderId="0" xfId="0" applyFont="1" applyBorder="1" applyAlignment="1">
      <alignment horizontal="center" vertical="top" wrapText="1"/>
    </xf>
    <xf numFmtId="0" fontId="1" fillId="0" borderId="15" xfId="0" applyFont="1" applyBorder="1" applyAlignment="1">
      <alignment horizontal="center" vertical="center" wrapText="1"/>
    </xf>
    <xf numFmtId="0" fontId="0" fillId="0" borderId="0" xfId="0" applyAlignment="1"/>
    <xf numFmtId="0" fontId="9" fillId="0" borderId="0" xfId="0" applyFont="1" applyAlignment="1">
      <alignment vertical="center" wrapText="1"/>
    </xf>
    <xf numFmtId="0" fontId="9" fillId="0" borderId="0" xfId="0" applyFont="1" applyAlignment="1">
      <alignment vertical="top" wrapText="1"/>
    </xf>
    <xf numFmtId="0" fontId="5" fillId="0" borderId="0" xfId="0" applyFont="1" applyBorder="1" applyAlignment="1">
      <alignment horizontal="center" vertical="top" wrapText="1"/>
    </xf>
    <xf numFmtId="0" fontId="26" fillId="0" borderId="0" xfId="0" applyFont="1" applyBorder="1" applyAlignment="1">
      <alignment horizontal="center" vertical="top" wrapText="1"/>
    </xf>
    <xf numFmtId="0" fontId="19" fillId="0" borderId="5" xfId="0" applyFont="1" applyBorder="1" applyAlignment="1">
      <alignment horizontal="center" vertical="top" wrapText="1"/>
    </xf>
    <xf numFmtId="164"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top" wrapText="1"/>
    </xf>
    <xf numFmtId="0" fontId="18" fillId="0" borderId="0" xfId="0" applyFont="1" applyAlignment="1"/>
    <xf numFmtId="0" fontId="8" fillId="0" borderId="0" xfId="0" applyFont="1" applyAlignment="1">
      <alignment vertical="center"/>
    </xf>
    <xf numFmtId="0" fontId="28" fillId="0" borderId="0" xfId="0" applyFont="1" applyAlignment="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8" fillId="0" borderId="0" xfId="0" applyFont="1" applyAlignment="1">
      <alignment horizontal="left"/>
    </xf>
    <xf numFmtId="0" fontId="7" fillId="0" borderId="8" xfId="0" applyFont="1" applyBorder="1" applyAlignment="1">
      <alignment horizontal="center" vertical="center" wrapText="1"/>
    </xf>
    <xf numFmtId="0" fontId="1" fillId="0" borderId="8" xfId="0" applyFont="1" applyBorder="1" applyAlignment="1">
      <alignment horizontal="center" vertical="center"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10" fillId="0" borderId="0" xfId="0" applyFont="1" applyAlignment="1">
      <alignment horizontal="center" vertical="center"/>
    </xf>
    <xf numFmtId="0" fontId="0" fillId="0" borderId="0" xfId="0" applyAlignment="1">
      <alignment horizont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left"/>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1" fillId="0" borderId="0" xfId="0" applyFont="1" applyAlignment="1">
      <alignment horizontal="left"/>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7" fillId="0" borderId="1" xfId="0" applyFont="1" applyBorder="1" applyAlignment="1">
      <alignment horizontal="center" vertical="top" wrapText="1"/>
    </xf>
    <xf numFmtId="0" fontId="7" fillId="0" borderId="3" xfId="0" applyFont="1" applyBorder="1" applyAlignment="1">
      <alignment horizontal="center"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16" fillId="0" borderId="0" xfId="0" applyFont="1" applyAlignment="1">
      <alignment horizontal="center"/>
    </xf>
    <xf numFmtId="0" fontId="1" fillId="0" borderId="18" xfId="0" applyFont="1" applyBorder="1" applyAlignment="1">
      <alignment horizontal="center" vertical="top" wrapText="1"/>
    </xf>
    <xf numFmtId="0" fontId="1" fillId="0" borderId="19" xfId="0" applyFont="1" applyBorder="1" applyAlignment="1">
      <alignment horizontal="center" vertical="top" wrapText="1"/>
    </xf>
    <xf numFmtId="0" fontId="1" fillId="0" borderId="7" xfId="0" applyFont="1" applyBorder="1" applyAlignment="1">
      <alignment horizontal="center" vertical="top" wrapText="1"/>
    </xf>
    <xf numFmtId="0" fontId="3" fillId="0" borderId="0" xfId="0" applyFont="1" applyAlignment="1">
      <alignment horizontal="center" vertical="top" wrapText="1"/>
    </xf>
    <xf numFmtId="0" fontId="3" fillId="0" borderId="9"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20" fillId="0" borderId="8" xfId="0" applyFont="1" applyBorder="1" applyAlignment="1">
      <alignment horizontal="center" vertical="center" wrapText="1"/>
    </xf>
    <xf numFmtId="0" fontId="11" fillId="0" borderId="1" xfId="0" applyNumberFormat="1" applyFont="1" applyBorder="1" applyAlignment="1">
      <alignment horizontal="center" vertical="center"/>
    </xf>
    <xf numFmtId="0" fontId="11" fillId="0" borderId="3" xfId="0" applyNumberFormat="1" applyFont="1" applyBorder="1" applyAlignment="1">
      <alignment horizontal="center" vertical="center"/>
    </xf>
    <xf numFmtId="0" fontId="11" fillId="0" borderId="2"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11" fillId="0" borderId="3" xfId="0" applyNumberFormat="1" applyFont="1" applyBorder="1" applyAlignment="1">
      <alignment horizontal="center" vertical="center"/>
    </xf>
    <xf numFmtId="0" fontId="11" fillId="0" borderId="8" xfId="0" applyNumberFormat="1" applyFont="1" applyBorder="1" applyAlignment="1">
      <alignment horizontal="center" vertical="center"/>
    </xf>
    <xf numFmtId="164" fontId="11" fillId="0" borderId="8" xfId="0" applyNumberFormat="1" applyFont="1" applyBorder="1" applyAlignment="1">
      <alignment horizontal="center" vertical="center"/>
    </xf>
    <xf numFmtId="0" fontId="11" fillId="0" borderId="3"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center" vertical="center" wrapText="1"/>
    </xf>
    <xf numFmtId="0" fontId="21" fillId="0" borderId="0" xfId="0" applyFont="1" applyAlignment="1">
      <alignment horizont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1" fillId="0" borderId="27" xfId="0" applyFont="1" applyBorder="1" applyAlignment="1">
      <alignment horizontal="center" vertical="top" wrapText="1"/>
    </xf>
    <xf numFmtId="0" fontId="1" fillId="0" borderId="28" xfId="0" applyFont="1" applyBorder="1" applyAlignment="1">
      <alignment horizontal="center" vertical="top" wrapText="1"/>
    </xf>
    <xf numFmtId="0" fontId="7" fillId="0" borderId="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5" xfId="0" applyFont="1" applyBorder="1" applyAlignment="1">
      <alignment horizontal="center" vertical="top" wrapText="1"/>
    </xf>
    <xf numFmtId="0" fontId="5" fillId="0" borderId="9" xfId="0" applyFont="1" applyBorder="1" applyAlignment="1">
      <alignment horizontal="center" vertical="top" wrapText="1"/>
    </xf>
    <xf numFmtId="0" fontId="5" fillId="0" borderId="6" xfId="0" applyFont="1" applyBorder="1" applyAlignment="1">
      <alignment horizontal="center" vertical="top" wrapText="1"/>
    </xf>
    <xf numFmtId="0" fontId="1" fillId="0" borderId="20" xfId="0" applyFont="1" applyBorder="1" applyAlignment="1">
      <alignment horizontal="center" vertical="top" wrapText="1"/>
    </xf>
    <xf numFmtId="0" fontId="1" fillId="0" borderId="0" xfId="0" applyFont="1" applyBorder="1" applyAlignment="1">
      <alignment horizontal="center" vertical="top" wrapText="1"/>
    </xf>
    <xf numFmtId="0" fontId="3" fillId="0" borderId="5" xfId="0" applyFont="1" applyBorder="1" applyAlignment="1">
      <alignment horizontal="center" vertical="top" wrapText="1"/>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21"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26" fillId="0" borderId="28" xfId="0" applyFont="1" applyBorder="1" applyAlignment="1">
      <alignment horizontal="center" vertical="top" wrapText="1"/>
    </xf>
    <xf numFmtId="0" fontId="26" fillId="0" borderId="19" xfId="0" applyFont="1" applyBorder="1" applyAlignment="1">
      <alignment horizontal="center" vertical="top" wrapText="1"/>
    </xf>
    <xf numFmtId="0" fontId="26" fillId="0" borderId="7" xfId="0" applyFont="1" applyBorder="1" applyAlignment="1">
      <alignment horizontal="center" vertical="top" wrapText="1"/>
    </xf>
    <xf numFmtId="0" fontId="26" fillId="0" borderId="18" xfId="0" applyFont="1" applyBorder="1" applyAlignment="1">
      <alignment horizontal="center" vertical="top" wrapText="1"/>
    </xf>
    <xf numFmtId="0" fontId="26" fillId="0" borderId="27" xfId="0" applyFont="1" applyBorder="1" applyAlignment="1">
      <alignment horizontal="center" vertical="top" wrapText="1"/>
    </xf>
    <xf numFmtId="0" fontId="19" fillId="0" borderId="22" xfId="0" applyFont="1" applyBorder="1" applyAlignment="1">
      <alignment horizontal="center" vertical="top" wrapText="1"/>
    </xf>
    <xf numFmtId="0" fontId="19" fillId="0" borderId="23" xfId="0" applyFont="1" applyBorder="1" applyAlignment="1">
      <alignment horizontal="center" vertical="top" wrapText="1"/>
    </xf>
    <xf numFmtId="0" fontId="19" fillId="0" borderId="24" xfId="0" applyFont="1" applyBorder="1" applyAlignment="1">
      <alignment horizontal="center" vertical="top" wrapText="1"/>
    </xf>
    <xf numFmtId="0" fontId="5" fillId="0" borderId="14" xfId="0" applyFont="1" applyBorder="1" applyAlignment="1">
      <alignment horizontal="center" vertical="top" wrapText="1"/>
    </xf>
    <xf numFmtId="0" fontId="5" fillId="0" borderId="13" xfId="0" applyFont="1" applyBorder="1" applyAlignment="1">
      <alignment horizontal="center" vertical="top" wrapText="1"/>
    </xf>
    <xf numFmtId="0" fontId="5" fillId="0" borderId="4" xfId="0" applyFont="1" applyBorder="1" applyAlignment="1">
      <alignment horizontal="center" vertical="top" wrapText="1"/>
    </xf>
    <xf numFmtId="0" fontId="19" fillId="0" borderId="2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 fillId="0" borderId="0" xfId="0" applyFont="1" applyAlignment="1">
      <alignment horizontal="center" vertical="top" wrapText="1"/>
    </xf>
    <xf numFmtId="0" fontId="7" fillId="0" borderId="0" xfId="0" applyFont="1" applyAlignment="1">
      <alignment horizontal="center"/>
    </xf>
    <xf numFmtId="0" fontId="1" fillId="0" borderId="0" xfId="0" applyFont="1" applyAlignment="1">
      <alignment horizontal="center"/>
    </xf>
    <xf numFmtId="0" fontId="9" fillId="0" borderId="8" xfId="0" applyFont="1"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7" xfId="0" applyFont="1"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00CCFF"/>
      <color rgb="FF00FF00"/>
      <color rgb="FFFF9900"/>
      <color rgb="FFFF00FF"/>
      <color rgb="FFFFCCFF"/>
      <color rgb="FF04AC04"/>
      <color rgb="FFCC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3.xml.rels><?xml version="1.0" encoding="UTF-8" standalone="yes"?>
<Relationships xmlns="http://schemas.openxmlformats.org/package/2006/relationships"><Relationship Id="rId1" Type="http://schemas.openxmlformats.org/officeDocument/2006/relationships/vmlDrawing" Target="../drawings/vmlDrawing3.v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pt-PT" sz="1200" b="0" i="0" u="none" strike="noStrike" baseline="0">
                <a:solidFill>
                  <a:srgbClr val="000000"/>
                </a:solidFill>
                <a:latin typeface="Arial"/>
                <a:cs typeface="Arial"/>
              </a:rPr>
              <a:t>Percentagem de alunos do que </a:t>
            </a:r>
          </a:p>
          <a:p>
            <a:pPr>
              <a:defRPr sz="1200" b="0" i="0" u="none" strike="noStrike" baseline="0">
                <a:solidFill>
                  <a:srgbClr val="000000"/>
                </a:solidFill>
                <a:latin typeface="Arial"/>
                <a:ea typeface="Arial"/>
                <a:cs typeface="Arial"/>
              </a:defRPr>
            </a:pPr>
            <a:r>
              <a:rPr lang="pt-PT" sz="1200" b="1" i="0" u="none" strike="noStrike" baseline="0">
                <a:solidFill>
                  <a:srgbClr val="000000"/>
                </a:solidFill>
                <a:latin typeface="Arial"/>
                <a:cs typeface="Arial"/>
              </a:rPr>
              <a:t>não progrediram</a:t>
            </a:r>
          </a:p>
        </c:rich>
      </c:tx>
      <c:layout>
        <c:manualLayout>
          <c:xMode val="edge"/>
          <c:yMode val="edge"/>
          <c:x val="0.25526143790849676"/>
          <c:y val="6.5920656638461264E-2"/>
        </c:manualLayout>
      </c:layout>
      <c:overlay val="0"/>
      <c:spPr>
        <a:noFill/>
        <a:ln w="25400">
          <a:noFill/>
        </a:ln>
      </c:spPr>
    </c:title>
    <c:autoTitleDeleted val="0"/>
    <c:view3D>
      <c:rotX val="10"/>
      <c:hPercent val="52"/>
      <c:rotY val="23"/>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11813210848643982"/>
          <c:y val="0.20599378511911867"/>
          <c:w val="0.84340772478070858"/>
          <c:h val="0.68407212195099565"/>
        </c:manualLayout>
      </c:layout>
      <c:bar3DChart>
        <c:barDir val="col"/>
        <c:grouping val="clustered"/>
        <c:varyColors val="0"/>
        <c:ser>
          <c:idx val="0"/>
          <c:order val="0"/>
          <c:tx>
            <c:v>Percentagem de alunos do 3º Ciclo que não progrediram</c:v>
          </c:tx>
          <c:spPr>
            <a:solidFill>
              <a:srgbClr val="FF0000"/>
            </a:solidFill>
            <a:ln w="12700">
              <a:solidFill>
                <a:srgbClr val="000000"/>
              </a:solidFill>
              <a:prstDash val="solid"/>
            </a:ln>
          </c:spPr>
          <c:invertIfNegative val="0"/>
          <c:cat>
            <c:strRef>
              <c:f>'2'!$B$20:$B$25</c:f>
              <c:strCache>
                <c:ptCount val="6"/>
                <c:pt idx="0">
                  <c:v>5º</c:v>
                </c:pt>
                <c:pt idx="1">
                  <c:v>6º</c:v>
                </c:pt>
                <c:pt idx="2">
                  <c:v>7º</c:v>
                </c:pt>
                <c:pt idx="3">
                  <c:v>8º</c:v>
                </c:pt>
                <c:pt idx="4">
                  <c:v>9º</c:v>
                </c:pt>
                <c:pt idx="5">
                  <c:v>CEF’s</c:v>
                </c:pt>
              </c:strCache>
            </c:strRef>
          </c:cat>
          <c:val>
            <c:numRef>
              <c:f>'2'!$H$20:$H$25</c:f>
              <c:numCache>
                <c:formatCode>0.0%</c:formatCode>
                <c:ptCount val="6"/>
                <c:pt idx="0">
                  <c:v>0.20300751879699247</c:v>
                </c:pt>
                <c:pt idx="1">
                  <c:v>0.14285714285714285</c:v>
                </c:pt>
                <c:pt idx="2">
                  <c:v>0.36419753086419754</c:v>
                </c:pt>
                <c:pt idx="3">
                  <c:v>0.125</c:v>
                </c:pt>
                <c:pt idx="4">
                  <c:v>0.17796610169491525</c:v>
                </c:pt>
                <c:pt idx="5">
                  <c:v>3.0303030303030304E-2</c:v>
                </c:pt>
              </c:numCache>
            </c:numRef>
          </c:val>
        </c:ser>
        <c:dLbls>
          <c:showLegendKey val="0"/>
          <c:showVal val="0"/>
          <c:showCatName val="0"/>
          <c:showSerName val="0"/>
          <c:showPercent val="0"/>
          <c:showBubbleSize val="0"/>
        </c:dLbls>
        <c:gapWidth val="150"/>
        <c:shape val="box"/>
        <c:axId val="111519744"/>
        <c:axId val="113221632"/>
        <c:axId val="0"/>
      </c:bar3DChart>
      <c:catAx>
        <c:axId val="1115197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13221632"/>
        <c:crosses val="autoZero"/>
        <c:auto val="1"/>
        <c:lblAlgn val="ctr"/>
        <c:lblOffset val="100"/>
        <c:tickLblSkip val="1"/>
        <c:tickMarkSkip val="1"/>
        <c:noMultiLvlLbl val="0"/>
      </c:catAx>
      <c:valAx>
        <c:axId val="113221632"/>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11519744"/>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081632653061686E-2"/>
          <c:y val="0.10548566672298069"/>
          <c:w val="0.81310490152145609"/>
          <c:h val="0.65028156499892753"/>
        </c:manualLayout>
      </c:layout>
      <c:barChart>
        <c:barDir val="col"/>
        <c:grouping val="clustered"/>
        <c:varyColors val="0"/>
        <c:ser>
          <c:idx val="0"/>
          <c:order val="0"/>
          <c:tx>
            <c:v>7º ANO</c:v>
          </c:tx>
          <c:spPr>
            <a:solidFill>
              <a:srgbClr val="FFFF00"/>
            </a:solidFill>
            <a:ln w="12700">
              <a:solidFill>
                <a:srgbClr val="000000"/>
              </a:solidFill>
              <a:prstDash val="solid"/>
            </a:ln>
          </c:spPr>
          <c:invertIfNegative val="0"/>
          <c:cat>
            <c:strRef>
              <c:f>Folha1!$M$9:$P$9</c:f>
              <c:strCache>
                <c:ptCount val="4"/>
                <c:pt idx="0">
                  <c:v>GEOG</c:v>
                </c:pt>
                <c:pt idx="1">
                  <c:v>MAT</c:v>
                </c:pt>
                <c:pt idx="2">
                  <c:v>CN</c:v>
                </c:pt>
                <c:pt idx="3">
                  <c:v>FQ</c:v>
                </c:pt>
              </c:strCache>
            </c:strRef>
          </c:cat>
          <c:val>
            <c:numRef>
              <c:f>(Folha1!$M$10,Folha1!$N$10,Folha1!$O$10,Folha1!$P$10)</c:f>
              <c:numCache>
                <c:formatCode>0.00%</c:formatCode>
                <c:ptCount val="4"/>
                <c:pt idx="0">
                  <c:v>0.5</c:v>
                </c:pt>
                <c:pt idx="1">
                  <c:v>0.61728395061728392</c:v>
                </c:pt>
                <c:pt idx="2">
                  <c:v>0.7407407407407407</c:v>
                </c:pt>
                <c:pt idx="3">
                  <c:v>0.72839506172839508</c:v>
                </c:pt>
              </c:numCache>
            </c:numRef>
          </c:val>
        </c:ser>
        <c:ser>
          <c:idx val="1"/>
          <c:order val="1"/>
          <c:tx>
            <c:v>8º ANO</c:v>
          </c:tx>
          <c:spPr>
            <a:solidFill>
              <a:srgbClr val="00FF00"/>
            </a:solidFill>
            <a:ln w="12700">
              <a:solidFill>
                <a:srgbClr val="000000"/>
              </a:solidFill>
              <a:prstDash val="solid"/>
            </a:ln>
          </c:spPr>
          <c:invertIfNegative val="0"/>
          <c:cat>
            <c:strRef>
              <c:f>Folha1!$M$9:$P$9</c:f>
              <c:strCache>
                <c:ptCount val="4"/>
                <c:pt idx="0">
                  <c:v>GEOG</c:v>
                </c:pt>
                <c:pt idx="1">
                  <c:v>MAT</c:v>
                </c:pt>
                <c:pt idx="2">
                  <c:v>CN</c:v>
                </c:pt>
                <c:pt idx="3">
                  <c:v>FQ</c:v>
                </c:pt>
              </c:strCache>
            </c:strRef>
          </c:cat>
          <c:val>
            <c:numRef>
              <c:f>(Folha1!$M$11,Folha1!$N$11,Folha1!$O$11,Folha1!$P$11)</c:f>
              <c:numCache>
                <c:formatCode>0.00%</c:formatCode>
                <c:ptCount val="4"/>
                <c:pt idx="0">
                  <c:v>0.9</c:v>
                </c:pt>
                <c:pt idx="1">
                  <c:v>0.71666666666666667</c:v>
                </c:pt>
                <c:pt idx="2">
                  <c:v>0.95833333333333337</c:v>
                </c:pt>
                <c:pt idx="3">
                  <c:v>0.91666666666666663</c:v>
                </c:pt>
              </c:numCache>
            </c:numRef>
          </c:val>
        </c:ser>
        <c:ser>
          <c:idx val="2"/>
          <c:order val="2"/>
          <c:tx>
            <c:v>9º ANO</c:v>
          </c:tx>
          <c:spPr>
            <a:solidFill>
              <a:srgbClr val="FF0000"/>
            </a:solidFill>
            <a:ln w="12700">
              <a:solidFill>
                <a:srgbClr val="000000"/>
              </a:solidFill>
              <a:prstDash val="solid"/>
            </a:ln>
          </c:spPr>
          <c:invertIfNegative val="0"/>
          <c:cat>
            <c:strRef>
              <c:f>Folha1!$M$9:$P$9</c:f>
              <c:strCache>
                <c:ptCount val="4"/>
                <c:pt idx="0">
                  <c:v>GEOG</c:v>
                </c:pt>
                <c:pt idx="1">
                  <c:v>MAT</c:v>
                </c:pt>
                <c:pt idx="2">
                  <c:v>CN</c:v>
                </c:pt>
                <c:pt idx="3">
                  <c:v>FQ</c:v>
                </c:pt>
              </c:strCache>
            </c:strRef>
          </c:cat>
          <c:val>
            <c:numRef>
              <c:f>(Folha1!$M$12,Folha1!$N$12,Folha1!$O$12,Folha1!$P$12)</c:f>
              <c:numCache>
                <c:formatCode>0.00%</c:formatCode>
                <c:ptCount val="4"/>
                <c:pt idx="0">
                  <c:v>0.82203389830508478</c:v>
                </c:pt>
                <c:pt idx="1">
                  <c:v>0.73728813559322037</c:v>
                </c:pt>
                <c:pt idx="2">
                  <c:v>0.90677966101694918</c:v>
                </c:pt>
                <c:pt idx="3">
                  <c:v>0.75423728813559321</c:v>
                </c:pt>
              </c:numCache>
            </c:numRef>
          </c:val>
        </c:ser>
        <c:ser>
          <c:idx val="3"/>
          <c:order val="3"/>
          <c:tx>
            <c:v>TOTAL</c:v>
          </c:tx>
          <c:spPr>
            <a:solidFill>
              <a:schemeClr val="tx2">
                <a:lumMod val="20000"/>
                <a:lumOff val="80000"/>
              </a:schemeClr>
            </a:solidFill>
            <a:ln w="12700">
              <a:solidFill>
                <a:srgbClr val="000000"/>
              </a:solidFill>
              <a:prstDash val="solid"/>
            </a:ln>
          </c:spPr>
          <c:invertIfNegative val="0"/>
          <c:cat>
            <c:strRef>
              <c:f>Folha1!$M$9:$P$9</c:f>
              <c:strCache>
                <c:ptCount val="4"/>
                <c:pt idx="0">
                  <c:v>GEOG</c:v>
                </c:pt>
                <c:pt idx="1">
                  <c:v>MAT</c:v>
                </c:pt>
                <c:pt idx="2">
                  <c:v>CN</c:v>
                </c:pt>
                <c:pt idx="3">
                  <c:v>FQ</c:v>
                </c:pt>
              </c:strCache>
            </c:strRef>
          </c:cat>
          <c:val>
            <c:numRef>
              <c:f>(Folha1!$M$13,Folha1!$N$13,Folha1!$O$13,Folha1!$P$13)</c:f>
              <c:numCache>
                <c:formatCode>0.00%</c:formatCode>
                <c:ptCount val="4"/>
                <c:pt idx="0">
                  <c:v>0.71499999999999997</c:v>
                </c:pt>
                <c:pt idx="1">
                  <c:v>0.6825</c:v>
                </c:pt>
                <c:pt idx="2">
                  <c:v>0.85499999999999998</c:v>
                </c:pt>
                <c:pt idx="3">
                  <c:v>0.79249999999999998</c:v>
                </c:pt>
              </c:numCache>
            </c:numRef>
          </c:val>
        </c:ser>
        <c:dLbls>
          <c:showLegendKey val="0"/>
          <c:showVal val="0"/>
          <c:showCatName val="0"/>
          <c:showSerName val="0"/>
          <c:showPercent val="0"/>
          <c:showBubbleSize val="0"/>
        </c:dLbls>
        <c:gapWidth val="150"/>
        <c:axId val="112795136"/>
        <c:axId val="174539328"/>
      </c:barChart>
      <c:catAx>
        <c:axId val="112795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74539328"/>
        <c:crosses val="autoZero"/>
        <c:auto val="1"/>
        <c:lblAlgn val="ctr"/>
        <c:lblOffset val="100"/>
        <c:tickLblSkip val="1"/>
        <c:tickMarkSkip val="1"/>
        <c:noMultiLvlLbl val="0"/>
      </c:catAx>
      <c:valAx>
        <c:axId val="174539328"/>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pt-PT"/>
          </a:p>
        </c:txPr>
        <c:crossAx val="112795136"/>
        <c:crosses val="autoZero"/>
        <c:crossBetween val="between"/>
        <c:majorUnit val="0.2"/>
      </c:valAx>
      <c:spPr>
        <a:noFill/>
        <a:ln w="12700">
          <a:solidFill>
            <a:srgbClr val="808080"/>
          </a:solidFill>
          <a:prstDash val="solid"/>
        </a:ln>
      </c:spPr>
    </c:plotArea>
    <c:legend>
      <c:legendPos val="r"/>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52156839173811E-2"/>
          <c:y val="3.9069561971524995E-2"/>
          <c:w val="0.74168514412416864"/>
          <c:h val="0.80612971391855492"/>
        </c:manualLayout>
      </c:layout>
      <c:barChart>
        <c:barDir val="col"/>
        <c:grouping val="clustered"/>
        <c:varyColors val="0"/>
        <c:ser>
          <c:idx val="0"/>
          <c:order val="0"/>
          <c:tx>
            <c:strRef>
              <c:f>'3 - APROV POR ANO E DISC.'!$AM$13</c:f>
              <c:strCache>
                <c:ptCount val="1"/>
                <c:pt idx="0">
                  <c:v>CEF1 Cab</c:v>
                </c:pt>
              </c:strCache>
            </c:strRef>
          </c:tx>
          <c:spPr>
            <a:solidFill>
              <a:srgbClr val="FF9900"/>
            </a:solidFill>
            <a:ln w="12700">
              <a:solidFill>
                <a:srgbClr val="000000"/>
              </a:solidFill>
              <a:prstDash val="solid"/>
            </a:ln>
          </c:spPr>
          <c:invertIfNegative val="0"/>
          <c:cat>
            <c:strRef>
              <c:f>Folha1!$M$15:$P$15</c:f>
              <c:strCache>
                <c:ptCount val="4"/>
                <c:pt idx="0">
                  <c:v>LP</c:v>
                </c:pt>
                <c:pt idx="1">
                  <c:v>ING</c:v>
                </c:pt>
                <c:pt idx="2">
                  <c:v>MAT. APLIC.</c:v>
                </c:pt>
                <c:pt idx="3">
                  <c:v>FQ</c:v>
                </c:pt>
              </c:strCache>
            </c:strRef>
          </c:cat>
          <c:val>
            <c:numRef>
              <c:f>(Folha1!$M$16,Folha1!$N$16,Folha1!$O$16,Folha1!$P$16)</c:f>
              <c:numCache>
                <c:formatCode>0.00%</c:formatCode>
                <c:ptCount val="4"/>
                <c:pt idx="0">
                  <c:v>0.8</c:v>
                </c:pt>
                <c:pt idx="1">
                  <c:v>0.8</c:v>
                </c:pt>
                <c:pt idx="2">
                  <c:v>0.26666666666666666</c:v>
                </c:pt>
                <c:pt idx="3">
                  <c:v>0.66666666666666663</c:v>
                </c:pt>
              </c:numCache>
            </c:numRef>
          </c:val>
        </c:ser>
        <c:ser>
          <c:idx val="1"/>
          <c:order val="1"/>
          <c:tx>
            <c:strRef>
              <c:f>'3 - APROV POR ANO E DISC.'!$AM$14</c:f>
              <c:strCache>
                <c:ptCount val="1"/>
                <c:pt idx="0">
                  <c:v>CEF2 OI</c:v>
                </c:pt>
              </c:strCache>
            </c:strRef>
          </c:tx>
          <c:spPr>
            <a:solidFill>
              <a:srgbClr val="00CCFF"/>
            </a:solidFill>
            <a:ln w="12700">
              <a:solidFill>
                <a:srgbClr val="000000"/>
              </a:solidFill>
              <a:prstDash val="solid"/>
            </a:ln>
          </c:spPr>
          <c:invertIfNegative val="0"/>
          <c:cat>
            <c:strRef>
              <c:f>Folha1!$M$15:$P$15</c:f>
              <c:strCache>
                <c:ptCount val="4"/>
                <c:pt idx="0">
                  <c:v>LP</c:v>
                </c:pt>
                <c:pt idx="1">
                  <c:v>ING</c:v>
                </c:pt>
                <c:pt idx="2">
                  <c:v>MAT. APLIC.</c:v>
                </c:pt>
                <c:pt idx="3">
                  <c:v>FQ</c:v>
                </c:pt>
              </c:strCache>
            </c:strRef>
          </c:cat>
          <c:val>
            <c:numRef>
              <c:f>(Folha1!$M$17,Folha1!$N$17,Folha1!$O$17,Folha1!$P$17)</c:f>
              <c:numCache>
                <c:formatCode>0.00%</c:formatCode>
                <c:ptCount val="4"/>
                <c:pt idx="0">
                  <c:v>0.55555555555555558</c:v>
                </c:pt>
                <c:pt idx="1">
                  <c:v>0.72727272727272729</c:v>
                </c:pt>
                <c:pt idx="2">
                  <c:v>0.54545454545454541</c:v>
                </c:pt>
                <c:pt idx="3">
                  <c:v>0.45454545454545453</c:v>
                </c:pt>
              </c:numCache>
            </c:numRef>
          </c:val>
        </c:ser>
        <c:ser>
          <c:idx val="2"/>
          <c:order val="2"/>
          <c:tx>
            <c:strRef>
              <c:f>'3 - APROV POR ANO E DISC.'!$AM$15</c:f>
              <c:strCache>
                <c:ptCount val="1"/>
                <c:pt idx="0">
                  <c:v>CEF2 Cab</c:v>
                </c:pt>
              </c:strCache>
            </c:strRef>
          </c:tx>
          <c:spPr>
            <a:solidFill>
              <a:srgbClr val="FF00FF"/>
            </a:solidFill>
            <a:ln w="12700">
              <a:solidFill>
                <a:srgbClr val="000000"/>
              </a:solidFill>
              <a:prstDash val="solid"/>
            </a:ln>
          </c:spPr>
          <c:invertIfNegative val="0"/>
          <c:cat>
            <c:strRef>
              <c:f>Folha1!$M$15:$P$15</c:f>
              <c:strCache>
                <c:ptCount val="4"/>
                <c:pt idx="0">
                  <c:v>LP</c:v>
                </c:pt>
                <c:pt idx="1">
                  <c:v>ING</c:v>
                </c:pt>
                <c:pt idx="2">
                  <c:v>MAT. APLIC.</c:v>
                </c:pt>
                <c:pt idx="3">
                  <c:v>FQ</c:v>
                </c:pt>
              </c:strCache>
            </c:strRef>
          </c:cat>
          <c:val>
            <c:numRef>
              <c:f>(Folha1!$M$18,Folha1!$N$18,Folha1!$O$18,Folha1!$P$18)</c:f>
              <c:numCache>
                <c:formatCode>0.00%</c:formatCode>
                <c:ptCount val="4"/>
                <c:pt idx="0">
                  <c:v>0.81818181818181823</c:v>
                </c:pt>
                <c:pt idx="1">
                  <c:v>0.54545454545454541</c:v>
                </c:pt>
                <c:pt idx="2">
                  <c:v>0.81818181818181823</c:v>
                </c:pt>
                <c:pt idx="3">
                  <c:v>0.54545454545454541</c:v>
                </c:pt>
              </c:numCache>
            </c:numRef>
          </c:val>
        </c:ser>
        <c:ser>
          <c:idx val="3"/>
          <c:order val="3"/>
          <c:tx>
            <c:strRef>
              <c:f>'3 - APROV POR ANO E DISC.'!$AM$16</c:f>
              <c:strCache>
                <c:ptCount val="1"/>
                <c:pt idx="0">
                  <c:v>TOTAL</c:v>
                </c:pt>
              </c:strCache>
            </c:strRef>
          </c:tx>
          <c:spPr>
            <a:solidFill>
              <a:schemeClr val="tx2">
                <a:lumMod val="20000"/>
                <a:lumOff val="80000"/>
              </a:schemeClr>
            </a:solidFill>
            <a:ln w="12700">
              <a:solidFill>
                <a:srgbClr val="000000"/>
              </a:solidFill>
              <a:prstDash val="solid"/>
            </a:ln>
          </c:spPr>
          <c:invertIfNegative val="0"/>
          <c:cat>
            <c:strRef>
              <c:f>Folha1!$M$15:$P$15</c:f>
              <c:strCache>
                <c:ptCount val="4"/>
                <c:pt idx="0">
                  <c:v>LP</c:v>
                </c:pt>
                <c:pt idx="1">
                  <c:v>ING</c:v>
                </c:pt>
                <c:pt idx="2">
                  <c:v>MAT. APLIC.</c:v>
                </c:pt>
                <c:pt idx="3">
                  <c:v>FQ</c:v>
                </c:pt>
              </c:strCache>
            </c:strRef>
          </c:cat>
          <c:val>
            <c:numRef>
              <c:f>(Folha1!$M$19,Folha1!$N$19,Folha1!$O$19,Folha1!$P$19)</c:f>
              <c:numCache>
                <c:formatCode>0.00%</c:formatCode>
                <c:ptCount val="4"/>
                <c:pt idx="0">
                  <c:v>0.78787878787878785</c:v>
                </c:pt>
                <c:pt idx="1">
                  <c:v>0.78787878787878785</c:v>
                </c:pt>
                <c:pt idx="2">
                  <c:v>0.5757575757575758</c:v>
                </c:pt>
                <c:pt idx="3">
                  <c:v>0.63636363636363635</c:v>
                </c:pt>
              </c:numCache>
            </c:numRef>
          </c:val>
        </c:ser>
        <c:dLbls>
          <c:showLegendKey val="0"/>
          <c:showVal val="0"/>
          <c:showCatName val="0"/>
          <c:showSerName val="0"/>
          <c:showPercent val="0"/>
          <c:showBubbleSize val="0"/>
        </c:dLbls>
        <c:gapWidth val="150"/>
        <c:axId val="113775104"/>
        <c:axId val="174542208"/>
      </c:barChart>
      <c:catAx>
        <c:axId val="113775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74542208"/>
        <c:crosses val="autoZero"/>
        <c:auto val="1"/>
        <c:lblAlgn val="ctr"/>
        <c:lblOffset val="100"/>
        <c:tickLblSkip val="1"/>
        <c:tickMarkSkip val="1"/>
        <c:noMultiLvlLbl val="0"/>
      </c:catAx>
      <c:valAx>
        <c:axId val="174542208"/>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13775104"/>
        <c:crosses val="autoZero"/>
        <c:crossBetween val="between"/>
        <c:majorUnit val="0.2"/>
      </c:valAx>
      <c:spPr>
        <a:noFill/>
        <a:ln w="12700">
          <a:solidFill>
            <a:srgbClr val="808080"/>
          </a:solidFill>
          <a:prstDash val="solid"/>
        </a:ln>
      </c:spPr>
    </c:plotArea>
    <c:legend>
      <c:legendPos val="r"/>
      <c:layout>
        <c:manualLayout>
          <c:xMode val="edge"/>
          <c:yMode val="edge"/>
          <c:x val="0.85506394928079976"/>
          <c:y val="0.22932343141170039"/>
          <c:w val="0.13541893032113136"/>
          <c:h val="0.400764105670223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'4.1 MÉDIA 2º CICLO.'!$A$13</c:f>
              <c:strCache>
                <c:ptCount val="1"/>
                <c:pt idx="0">
                  <c:v>5º</c:v>
                </c:pt>
              </c:strCache>
            </c:strRef>
          </c:tx>
          <c:spPr>
            <a:solidFill>
              <a:srgbClr val="0070C0"/>
            </a:solidFill>
          </c:spPr>
          <c:invertIfNegative val="0"/>
          <c:cat>
            <c:strRef>
              <c:f>'4.1 MÉDIA 2º CICLO.'!$B$9:$F$10</c:f>
              <c:strCache>
                <c:ptCount val="5"/>
                <c:pt idx="0">
                  <c:v>LP</c:v>
                </c:pt>
                <c:pt idx="1">
                  <c:v>ING</c:v>
                </c:pt>
                <c:pt idx="2">
                  <c:v>HGP</c:v>
                </c:pt>
                <c:pt idx="3">
                  <c:v>MAT</c:v>
                </c:pt>
                <c:pt idx="4">
                  <c:v>CN</c:v>
                </c:pt>
              </c:strCache>
            </c:strRef>
          </c:cat>
          <c:val>
            <c:numRef>
              <c:f>('4.1 MÉDIA 2º CICLO.'!$B$13,'4.1 MÉDIA 2º CICLO.'!$C$13,'4.1 MÉDIA 2º CICLO.'!$D$13,'4.1 MÉDIA 2º CICLO.'!$E$13,'4.1 MÉDIA 2º CICLO.'!$F$13)</c:f>
              <c:numCache>
                <c:formatCode>0.00</c:formatCode>
                <c:ptCount val="5"/>
                <c:pt idx="0">
                  <c:v>3.0751879699248121</c:v>
                </c:pt>
                <c:pt idx="1">
                  <c:v>3.1428571428571428</c:v>
                </c:pt>
                <c:pt idx="2">
                  <c:v>3.2706766917293235</c:v>
                </c:pt>
                <c:pt idx="3">
                  <c:v>3.255639097744361</c:v>
                </c:pt>
                <c:pt idx="4">
                  <c:v>3.1052631578947367</c:v>
                </c:pt>
              </c:numCache>
            </c:numRef>
          </c:val>
        </c:ser>
        <c:ser>
          <c:idx val="1"/>
          <c:order val="1"/>
          <c:tx>
            <c:strRef>
              <c:f>'4.1 MÉDIA 2º CICLO.'!$A$14</c:f>
              <c:strCache>
                <c:ptCount val="1"/>
                <c:pt idx="0">
                  <c:v>6º</c:v>
                </c:pt>
              </c:strCache>
            </c:strRef>
          </c:tx>
          <c:spPr>
            <a:solidFill>
              <a:srgbClr val="FF00FF"/>
            </a:solidFill>
          </c:spPr>
          <c:invertIfNegative val="0"/>
          <c:cat>
            <c:strRef>
              <c:f>'4.1 MÉDIA 2º CICLO.'!$B$9:$F$10</c:f>
              <c:strCache>
                <c:ptCount val="5"/>
                <c:pt idx="0">
                  <c:v>LP</c:v>
                </c:pt>
                <c:pt idx="1">
                  <c:v>ING</c:v>
                </c:pt>
                <c:pt idx="2">
                  <c:v>HGP</c:v>
                </c:pt>
                <c:pt idx="3">
                  <c:v>MAT</c:v>
                </c:pt>
                <c:pt idx="4">
                  <c:v>CN</c:v>
                </c:pt>
              </c:strCache>
            </c:strRef>
          </c:cat>
          <c:val>
            <c:numRef>
              <c:f>('4.1 MÉDIA 2º CICLO.'!$B$14,'4.1 MÉDIA 2º CICLO.'!$C$14,'4.1 MÉDIA 2º CICLO.'!$D$14,'4.1 MÉDIA 2º CICLO.'!$E$14,'4.1 MÉDIA 2º CICLO.'!$F$14)</c:f>
              <c:numCache>
                <c:formatCode>0.00</c:formatCode>
                <c:ptCount val="5"/>
                <c:pt idx="0">
                  <c:v>3.0634920634920637</c:v>
                </c:pt>
                <c:pt idx="1">
                  <c:v>2.9920634920634921</c:v>
                </c:pt>
                <c:pt idx="2">
                  <c:v>3.1746031746031744</c:v>
                </c:pt>
                <c:pt idx="3">
                  <c:v>2.8650793650793651</c:v>
                </c:pt>
                <c:pt idx="4">
                  <c:v>3.3015873015873014</c:v>
                </c:pt>
              </c:numCache>
            </c:numRef>
          </c:val>
        </c:ser>
        <c:ser>
          <c:idx val="2"/>
          <c:order val="2"/>
          <c:tx>
            <c:strRef>
              <c:f>'4.1 MÉDIA 2º CICLO.'!$A$15</c:f>
              <c:strCache>
                <c:ptCount val="1"/>
                <c:pt idx="0">
                  <c:v>MÉDIA DAS NOTAS DO 2ºCICLO</c:v>
                </c:pt>
              </c:strCache>
            </c:strRef>
          </c:tx>
          <c:spPr>
            <a:solidFill>
              <a:schemeClr val="tx2">
                <a:lumMod val="20000"/>
                <a:lumOff val="80000"/>
              </a:schemeClr>
            </a:solidFill>
          </c:spPr>
          <c:invertIfNegative val="0"/>
          <c:cat>
            <c:strRef>
              <c:f>'4.1 MÉDIA 2º CICLO.'!$B$9:$F$10</c:f>
              <c:strCache>
                <c:ptCount val="5"/>
                <c:pt idx="0">
                  <c:v>LP</c:v>
                </c:pt>
                <c:pt idx="1">
                  <c:v>ING</c:v>
                </c:pt>
                <c:pt idx="2">
                  <c:v>HGP</c:v>
                </c:pt>
                <c:pt idx="3">
                  <c:v>MAT</c:v>
                </c:pt>
                <c:pt idx="4">
                  <c:v>CN</c:v>
                </c:pt>
              </c:strCache>
            </c:strRef>
          </c:cat>
          <c:val>
            <c:numRef>
              <c:f>('4.1 MÉDIA 2º CICLO.'!$B$15,'4.1 MÉDIA 2º CICLO.'!$C$15,'4.1 MÉDIA 2º CICLO.'!$D$15,'4.1 MÉDIA 2º CICLO.'!$E$15,'4.1 MÉDIA 2º CICLO.'!$F$15)</c:f>
              <c:numCache>
                <c:formatCode>0.00</c:formatCode>
                <c:ptCount val="5"/>
                <c:pt idx="0">
                  <c:v>3.0693400167084377</c:v>
                </c:pt>
                <c:pt idx="1">
                  <c:v>3.0674603174603172</c:v>
                </c:pt>
                <c:pt idx="2">
                  <c:v>3.2226399331662492</c:v>
                </c:pt>
                <c:pt idx="3">
                  <c:v>3.0603592314118631</c:v>
                </c:pt>
                <c:pt idx="4">
                  <c:v>3.2034252297410193</c:v>
                </c:pt>
              </c:numCache>
            </c:numRef>
          </c:val>
        </c:ser>
        <c:dLbls>
          <c:showLegendKey val="0"/>
          <c:showVal val="0"/>
          <c:showCatName val="0"/>
          <c:showSerName val="0"/>
          <c:showPercent val="0"/>
          <c:showBubbleSize val="0"/>
        </c:dLbls>
        <c:gapWidth val="150"/>
        <c:shape val="box"/>
        <c:axId val="119660544"/>
        <c:axId val="174544512"/>
        <c:axId val="0"/>
      </c:bar3DChart>
      <c:catAx>
        <c:axId val="119660544"/>
        <c:scaling>
          <c:orientation val="minMax"/>
        </c:scaling>
        <c:delete val="0"/>
        <c:axPos val="b"/>
        <c:numFmt formatCode="General" sourceLinked="1"/>
        <c:majorTickMark val="out"/>
        <c:minorTickMark val="none"/>
        <c:tickLblPos val="nextTo"/>
        <c:crossAx val="174544512"/>
        <c:crosses val="autoZero"/>
        <c:auto val="1"/>
        <c:lblAlgn val="ctr"/>
        <c:lblOffset val="100"/>
        <c:noMultiLvlLbl val="0"/>
      </c:catAx>
      <c:valAx>
        <c:axId val="174544512"/>
        <c:scaling>
          <c:orientation val="minMax"/>
          <c:max val="5"/>
          <c:min val="2"/>
        </c:scaling>
        <c:delete val="0"/>
        <c:axPos val="l"/>
        <c:majorGridlines/>
        <c:numFmt formatCode="0.00" sourceLinked="1"/>
        <c:majorTickMark val="out"/>
        <c:minorTickMark val="none"/>
        <c:tickLblPos val="nextTo"/>
        <c:crossAx val="119660544"/>
        <c:crosses val="autoZero"/>
        <c:crossBetween val="between"/>
        <c:majorUnit val="0.5"/>
      </c:valAx>
    </c:plotArea>
    <c:legend>
      <c:legendPos val="r"/>
      <c:overlay val="0"/>
      <c:txPr>
        <a:bodyPr/>
        <a:lstStyle/>
        <a:p>
          <a:pPr>
            <a:defRPr sz="1100"/>
          </a:pPr>
          <a:endParaRPr lang="pt-PT"/>
        </a:p>
      </c:txPr>
    </c:legend>
    <c:plotVisOnly val="1"/>
    <c:dispBlanksAs val="gap"/>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'4.1 MÉDIA 2º CICLO.'!$A$13</c:f>
              <c:strCache>
                <c:ptCount val="1"/>
                <c:pt idx="0">
                  <c:v>5º</c:v>
                </c:pt>
              </c:strCache>
            </c:strRef>
          </c:tx>
          <c:spPr>
            <a:solidFill>
              <a:srgbClr val="0070C0"/>
            </a:solidFill>
            <a:effectLst/>
          </c:spPr>
          <c:invertIfNegative val="0"/>
          <c:cat>
            <c:strRef>
              <c:f>'4.1 MÉDIA 2º CICLO.'!$G$9:$J$10</c:f>
              <c:strCache>
                <c:ptCount val="4"/>
                <c:pt idx="0">
                  <c:v>EVT</c:v>
                </c:pt>
                <c:pt idx="1">
                  <c:v>EM</c:v>
                </c:pt>
                <c:pt idx="2">
                  <c:v>EF</c:v>
                </c:pt>
                <c:pt idx="3">
                  <c:v>EMRC</c:v>
                </c:pt>
              </c:strCache>
            </c:strRef>
          </c:cat>
          <c:val>
            <c:numRef>
              <c:f>('4.1 MÉDIA 2º CICLO.'!$G$13,'4.1 MÉDIA 2º CICLO.'!$H$13,'4.1 MÉDIA 2º CICLO.'!$I$13,'4.1 MÉDIA 2º CICLO.'!$J$13)</c:f>
              <c:numCache>
                <c:formatCode>0.00</c:formatCode>
                <c:ptCount val="4"/>
                <c:pt idx="0">
                  <c:v>3.2932330827067671</c:v>
                </c:pt>
                <c:pt idx="1">
                  <c:v>3.4135338345864663</c:v>
                </c:pt>
                <c:pt idx="2">
                  <c:v>3.3233082706766917</c:v>
                </c:pt>
                <c:pt idx="3">
                  <c:v>3.5227272727272729</c:v>
                </c:pt>
              </c:numCache>
            </c:numRef>
          </c:val>
        </c:ser>
        <c:ser>
          <c:idx val="1"/>
          <c:order val="1"/>
          <c:tx>
            <c:strRef>
              <c:f>'4.1 MÉDIA 2º CICLO.'!$A$14</c:f>
              <c:strCache>
                <c:ptCount val="1"/>
                <c:pt idx="0">
                  <c:v>6º</c:v>
                </c:pt>
              </c:strCache>
            </c:strRef>
          </c:tx>
          <c:spPr>
            <a:solidFill>
              <a:srgbClr val="FF00FF"/>
            </a:solidFill>
          </c:spPr>
          <c:invertIfNegative val="0"/>
          <c:cat>
            <c:strRef>
              <c:f>'4.1 MÉDIA 2º CICLO.'!$G$9:$J$10</c:f>
              <c:strCache>
                <c:ptCount val="4"/>
                <c:pt idx="0">
                  <c:v>EVT</c:v>
                </c:pt>
                <c:pt idx="1">
                  <c:v>EM</c:v>
                </c:pt>
                <c:pt idx="2">
                  <c:v>EF</c:v>
                </c:pt>
                <c:pt idx="3">
                  <c:v>EMRC</c:v>
                </c:pt>
              </c:strCache>
            </c:strRef>
          </c:cat>
          <c:val>
            <c:numRef>
              <c:f>('4.1 MÉDIA 2º CICLO.'!$G$14,'4.1 MÉDIA 2º CICLO.'!$H$14,'4.1 MÉDIA 2º CICLO.'!$I$14,'4.1 MÉDIA 2º CICLO.'!$J$14)</c:f>
              <c:numCache>
                <c:formatCode>0.00</c:formatCode>
                <c:ptCount val="4"/>
                <c:pt idx="0">
                  <c:v>3.4206349206349205</c:v>
                </c:pt>
                <c:pt idx="1">
                  <c:v>3.2619047619047619</c:v>
                </c:pt>
                <c:pt idx="2">
                  <c:v>3.3492063492063493</c:v>
                </c:pt>
                <c:pt idx="3">
                  <c:v>3.6326530612244898</c:v>
                </c:pt>
              </c:numCache>
            </c:numRef>
          </c:val>
        </c:ser>
        <c:ser>
          <c:idx val="2"/>
          <c:order val="2"/>
          <c:tx>
            <c:strRef>
              <c:f>'4.1 MÉDIA 2º CICLO.'!$A$15</c:f>
              <c:strCache>
                <c:ptCount val="1"/>
                <c:pt idx="0">
                  <c:v>MÉDIA DAS NOTAS DO 2ºCICLO</c:v>
                </c:pt>
              </c:strCache>
            </c:strRef>
          </c:tx>
          <c:spPr>
            <a:solidFill>
              <a:schemeClr val="tx2">
                <a:lumMod val="20000"/>
                <a:lumOff val="80000"/>
              </a:schemeClr>
            </a:solidFill>
          </c:spPr>
          <c:invertIfNegative val="0"/>
          <c:cat>
            <c:strRef>
              <c:f>'4.1 MÉDIA 2º CICLO.'!$G$9:$J$10</c:f>
              <c:strCache>
                <c:ptCount val="4"/>
                <c:pt idx="0">
                  <c:v>EVT</c:v>
                </c:pt>
                <c:pt idx="1">
                  <c:v>EM</c:v>
                </c:pt>
                <c:pt idx="2">
                  <c:v>EF</c:v>
                </c:pt>
                <c:pt idx="3">
                  <c:v>EMRC</c:v>
                </c:pt>
              </c:strCache>
            </c:strRef>
          </c:cat>
          <c:val>
            <c:numRef>
              <c:f>('4.1 MÉDIA 2º CICLO.'!$G$15,'4.1 MÉDIA 2º CICLO.'!$H$15,'4.1 MÉDIA 2º CICLO.'!$I$15,'4.1 MÉDIA 2º CICLO.'!$J$15)</c:f>
              <c:numCache>
                <c:formatCode>0.00</c:formatCode>
                <c:ptCount val="4"/>
                <c:pt idx="0">
                  <c:v>3.3569340016708438</c:v>
                </c:pt>
                <c:pt idx="1">
                  <c:v>3.3377192982456139</c:v>
                </c:pt>
                <c:pt idx="2">
                  <c:v>3.3362573099415203</c:v>
                </c:pt>
                <c:pt idx="3">
                  <c:v>3.5776901669758816</c:v>
                </c:pt>
              </c:numCache>
            </c:numRef>
          </c:val>
        </c:ser>
        <c:dLbls>
          <c:showLegendKey val="0"/>
          <c:showVal val="0"/>
          <c:showCatName val="0"/>
          <c:showSerName val="0"/>
          <c:showPercent val="0"/>
          <c:showBubbleSize val="0"/>
        </c:dLbls>
        <c:gapWidth val="150"/>
        <c:shape val="box"/>
        <c:axId val="119662080"/>
        <c:axId val="192366272"/>
        <c:axId val="0"/>
      </c:bar3DChart>
      <c:catAx>
        <c:axId val="119662080"/>
        <c:scaling>
          <c:orientation val="minMax"/>
        </c:scaling>
        <c:delete val="0"/>
        <c:axPos val="b"/>
        <c:numFmt formatCode="General" sourceLinked="1"/>
        <c:majorTickMark val="none"/>
        <c:minorTickMark val="none"/>
        <c:tickLblPos val="nextTo"/>
        <c:crossAx val="192366272"/>
        <c:crosses val="autoZero"/>
        <c:auto val="1"/>
        <c:lblAlgn val="ctr"/>
        <c:lblOffset val="100"/>
        <c:noMultiLvlLbl val="0"/>
      </c:catAx>
      <c:valAx>
        <c:axId val="192366272"/>
        <c:scaling>
          <c:orientation val="minMax"/>
          <c:max val="5"/>
          <c:min val="2"/>
        </c:scaling>
        <c:delete val="0"/>
        <c:axPos val="l"/>
        <c:majorGridlines/>
        <c:numFmt formatCode="0.00" sourceLinked="1"/>
        <c:majorTickMark val="none"/>
        <c:minorTickMark val="none"/>
        <c:tickLblPos val="nextTo"/>
        <c:crossAx val="119662080"/>
        <c:crosses val="autoZero"/>
        <c:crossBetween val="between"/>
        <c:majorUnit val="0.5"/>
      </c:valAx>
    </c:plotArea>
    <c:legend>
      <c:legendPos val="r"/>
      <c:layout>
        <c:manualLayout>
          <c:xMode val="edge"/>
          <c:yMode val="edge"/>
          <c:x val="0.73010552054055922"/>
          <c:y val="0.27262106299212596"/>
          <c:w val="0.26989447945944389"/>
          <c:h val="0.67409758395585162"/>
        </c:manualLayout>
      </c:layout>
      <c:overlay val="0"/>
      <c:txPr>
        <a:bodyPr/>
        <a:lstStyle/>
        <a:p>
          <a:pPr>
            <a:defRPr sz="1100"/>
          </a:pPr>
          <a:endParaRPr lang="pt-PT"/>
        </a:p>
      </c:txPr>
    </c:legend>
    <c:plotVisOnly val="1"/>
    <c:dispBlanksAs val="gap"/>
    <c:showDLblsOverMax val="0"/>
  </c:chart>
  <c:spPr>
    <a:ln>
      <a:noFill/>
    </a:ln>
    <a:scene3d>
      <a:camera prst="orthographicFront"/>
      <a:lightRig rig="threePt" dir="t"/>
    </a:scene3d>
    <a:sp3d prstMaterial="dkEdge"/>
  </c:spPr>
  <c:printSettings>
    <c:headerFooter/>
    <c:pageMargins b="0.75000000000000355" l="0.70000000000000062" r="0.70000000000000062" t="0.750000000000003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manualLayout>
          <c:layoutTarget val="inner"/>
          <c:xMode val="edge"/>
          <c:yMode val="edge"/>
          <c:x val="6.7136623189277114E-2"/>
          <c:y val="3.1701387994114878E-2"/>
          <c:w val="0.90029340225601573"/>
          <c:h val="0.64848690111999141"/>
        </c:manualLayout>
      </c:layout>
      <c:bar3DChart>
        <c:barDir val="col"/>
        <c:grouping val="clustered"/>
        <c:varyColors val="0"/>
        <c:ser>
          <c:idx val="0"/>
          <c:order val="0"/>
          <c:tx>
            <c:strRef>
              <c:f>'4.2 MÉDIA 3º CICLO'!$C$23</c:f>
              <c:strCache>
                <c:ptCount val="1"/>
                <c:pt idx="0">
                  <c:v>7º</c:v>
                </c:pt>
              </c:strCache>
            </c:strRef>
          </c:tx>
          <c:spPr>
            <a:solidFill>
              <a:srgbClr val="FFFF00"/>
            </a:solidFill>
          </c:spPr>
          <c:invertIfNegative val="0"/>
          <c:cat>
            <c:strRef>
              <c:f>'4.2 MÉDIA 3º CICLO'!$D$19:$G$20</c:f>
              <c:strCache>
                <c:ptCount val="4"/>
                <c:pt idx="0">
                  <c:v>LP</c:v>
                </c:pt>
                <c:pt idx="1">
                  <c:v>INGLÊS</c:v>
                </c:pt>
                <c:pt idx="2">
                  <c:v>FRANCÊS</c:v>
                </c:pt>
                <c:pt idx="3">
                  <c:v>ESPANHOL</c:v>
                </c:pt>
              </c:strCache>
            </c:strRef>
          </c:cat>
          <c:val>
            <c:numRef>
              <c:f>('4.2 MÉDIA 3º CICLO'!$D$23,'4.2 MÉDIA 3º CICLO'!$E$23,'4.2 MÉDIA 3º CICLO'!$F$23,'4.2 MÉDIA 3º CICLO'!$G$23)</c:f>
              <c:numCache>
                <c:formatCode>0.00</c:formatCode>
                <c:ptCount val="4"/>
                <c:pt idx="0">
                  <c:v>2.8395061728395063</c:v>
                </c:pt>
                <c:pt idx="1">
                  <c:v>2.7962962962962963</c:v>
                </c:pt>
                <c:pt idx="2">
                  <c:v>2.8888888888888888</c:v>
                </c:pt>
                <c:pt idx="3">
                  <c:v>3.5277777777777777</c:v>
                </c:pt>
              </c:numCache>
            </c:numRef>
          </c:val>
        </c:ser>
        <c:ser>
          <c:idx val="1"/>
          <c:order val="1"/>
          <c:tx>
            <c:strRef>
              <c:f>'4.2 MÉDIA 3º CICLO'!$C$24</c:f>
              <c:strCache>
                <c:ptCount val="1"/>
                <c:pt idx="0">
                  <c:v>8º</c:v>
                </c:pt>
              </c:strCache>
            </c:strRef>
          </c:tx>
          <c:spPr>
            <a:solidFill>
              <a:srgbClr val="00FF00"/>
            </a:solidFill>
          </c:spPr>
          <c:invertIfNegative val="0"/>
          <c:cat>
            <c:strRef>
              <c:f>'4.2 MÉDIA 3º CICLO'!$D$19:$G$20</c:f>
              <c:strCache>
                <c:ptCount val="4"/>
                <c:pt idx="0">
                  <c:v>LP</c:v>
                </c:pt>
                <c:pt idx="1">
                  <c:v>INGLÊS</c:v>
                </c:pt>
                <c:pt idx="2">
                  <c:v>FRANCÊS</c:v>
                </c:pt>
                <c:pt idx="3">
                  <c:v>ESPANHOL</c:v>
                </c:pt>
              </c:strCache>
            </c:strRef>
          </c:cat>
          <c:val>
            <c:numRef>
              <c:f>('4.2 MÉDIA 3º CICLO'!$D$24,'4.2 MÉDIA 3º CICLO'!$E$24,'4.2 MÉDIA 3º CICLO'!$F$24,'4.2 MÉDIA 3º CICLO'!$G$24)</c:f>
              <c:numCache>
                <c:formatCode>0.00</c:formatCode>
                <c:ptCount val="4"/>
                <c:pt idx="0">
                  <c:v>2.6749999999999998</c:v>
                </c:pt>
                <c:pt idx="1">
                  <c:v>3.0333333333333332</c:v>
                </c:pt>
                <c:pt idx="2">
                  <c:v>3.0659340659340661</c:v>
                </c:pt>
                <c:pt idx="3">
                  <c:v>3.5862068965517242</c:v>
                </c:pt>
              </c:numCache>
            </c:numRef>
          </c:val>
        </c:ser>
        <c:ser>
          <c:idx val="2"/>
          <c:order val="2"/>
          <c:tx>
            <c:strRef>
              <c:f>'4.2 MÉDIA 3º CICLO'!$C$25</c:f>
              <c:strCache>
                <c:ptCount val="1"/>
                <c:pt idx="0">
                  <c:v>9º</c:v>
                </c:pt>
              </c:strCache>
            </c:strRef>
          </c:tx>
          <c:spPr>
            <a:solidFill>
              <a:srgbClr val="FF0000"/>
            </a:solidFill>
          </c:spPr>
          <c:invertIfNegative val="0"/>
          <c:cat>
            <c:strRef>
              <c:f>'4.2 MÉDIA 3º CICLO'!$D$19:$G$20</c:f>
              <c:strCache>
                <c:ptCount val="4"/>
                <c:pt idx="0">
                  <c:v>LP</c:v>
                </c:pt>
                <c:pt idx="1">
                  <c:v>INGLÊS</c:v>
                </c:pt>
                <c:pt idx="2">
                  <c:v>FRANCÊS</c:v>
                </c:pt>
                <c:pt idx="3">
                  <c:v>ESPANHOL</c:v>
                </c:pt>
              </c:strCache>
            </c:strRef>
          </c:cat>
          <c:val>
            <c:numRef>
              <c:f>('4.2 MÉDIA 3º CICLO'!$D$25,'4.2 MÉDIA 3º CICLO'!$E$25,'4.2 MÉDIA 3º CICLO'!$F$25,'4.2 MÉDIA 3º CICLO'!$G$25)</c:f>
              <c:numCache>
                <c:formatCode>0.00</c:formatCode>
                <c:ptCount val="4"/>
                <c:pt idx="0">
                  <c:v>3.2372881355932202</c:v>
                </c:pt>
                <c:pt idx="1">
                  <c:v>3.3135593220338984</c:v>
                </c:pt>
                <c:pt idx="2">
                  <c:v>2.8020833333333335</c:v>
                </c:pt>
                <c:pt idx="3">
                  <c:v>3.5454545454545454</c:v>
                </c:pt>
              </c:numCache>
            </c:numRef>
          </c:val>
        </c:ser>
        <c:ser>
          <c:idx val="3"/>
          <c:order val="3"/>
          <c:tx>
            <c:strRef>
              <c:f>'4.2 MÉDIA 3º CICLO'!$C$26</c:f>
              <c:strCache>
                <c:ptCount val="1"/>
                <c:pt idx="0">
                  <c:v>MÉDIA DAS NOTAS DO 3ºCICLO</c:v>
                </c:pt>
              </c:strCache>
            </c:strRef>
          </c:tx>
          <c:spPr>
            <a:solidFill>
              <a:schemeClr val="tx2">
                <a:lumMod val="20000"/>
                <a:lumOff val="80000"/>
              </a:schemeClr>
            </a:solidFill>
          </c:spPr>
          <c:invertIfNegative val="0"/>
          <c:cat>
            <c:strRef>
              <c:f>'4.2 MÉDIA 3º CICLO'!$D$19:$G$20</c:f>
              <c:strCache>
                <c:ptCount val="4"/>
                <c:pt idx="0">
                  <c:v>LP</c:v>
                </c:pt>
                <c:pt idx="1">
                  <c:v>INGLÊS</c:v>
                </c:pt>
                <c:pt idx="2">
                  <c:v>FRANCÊS</c:v>
                </c:pt>
                <c:pt idx="3">
                  <c:v>ESPANHOL</c:v>
                </c:pt>
              </c:strCache>
            </c:strRef>
          </c:cat>
          <c:val>
            <c:numRef>
              <c:f>('4.2 MÉDIA 3º CICLO'!$D$26,'4.2 MÉDIA 3º CICLO'!$E$26,'4.2 MÉDIA 3º CICLO'!$F$26,'4.2 MÉDIA 3º CICLO'!$G$26)</c:f>
              <c:numCache>
                <c:formatCode>0.00</c:formatCode>
                <c:ptCount val="4"/>
                <c:pt idx="0">
                  <c:v>2.9172647694775757</c:v>
                </c:pt>
                <c:pt idx="1">
                  <c:v>3.0477296505545088</c:v>
                </c:pt>
                <c:pt idx="2">
                  <c:v>2.9189687627187628</c:v>
                </c:pt>
                <c:pt idx="3">
                  <c:v>3.5531464065946827</c:v>
                </c:pt>
              </c:numCache>
            </c:numRef>
          </c:val>
        </c:ser>
        <c:dLbls>
          <c:showLegendKey val="0"/>
          <c:showVal val="0"/>
          <c:showCatName val="0"/>
          <c:showSerName val="0"/>
          <c:showPercent val="0"/>
          <c:showBubbleSize val="0"/>
        </c:dLbls>
        <c:gapWidth val="150"/>
        <c:shape val="box"/>
        <c:axId val="123699200"/>
        <c:axId val="192368576"/>
        <c:axId val="0"/>
      </c:bar3DChart>
      <c:catAx>
        <c:axId val="123699200"/>
        <c:scaling>
          <c:orientation val="minMax"/>
        </c:scaling>
        <c:delete val="0"/>
        <c:axPos val="b"/>
        <c:numFmt formatCode="0.00" sourceLinked="1"/>
        <c:majorTickMark val="none"/>
        <c:minorTickMark val="none"/>
        <c:tickLblPos val="nextTo"/>
        <c:crossAx val="192368576"/>
        <c:crosses val="autoZero"/>
        <c:auto val="1"/>
        <c:lblAlgn val="ctr"/>
        <c:lblOffset val="100"/>
        <c:noMultiLvlLbl val="0"/>
      </c:catAx>
      <c:valAx>
        <c:axId val="192368576"/>
        <c:scaling>
          <c:orientation val="minMax"/>
        </c:scaling>
        <c:delete val="0"/>
        <c:axPos val="l"/>
        <c:majorGridlines/>
        <c:numFmt formatCode="0.00" sourceLinked="1"/>
        <c:majorTickMark val="none"/>
        <c:minorTickMark val="none"/>
        <c:tickLblPos val="nextTo"/>
        <c:crossAx val="123699200"/>
        <c:crosses val="autoZero"/>
        <c:crossBetween val="between"/>
      </c:valAx>
    </c:plotArea>
    <c:legend>
      <c:legendPos val="b"/>
      <c:overlay val="0"/>
      <c:txPr>
        <a:bodyPr/>
        <a:lstStyle/>
        <a:p>
          <a:pPr>
            <a:defRPr sz="1000"/>
          </a:pPr>
          <a:endParaRPr lang="pt-PT"/>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'4.2 MÉDIA 3º CICLO'!$C$23</c:f>
              <c:strCache>
                <c:ptCount val="1"/>
                <c:pt idx="0">
                  <c:v>7º</c:v>
                </c:pt>
              </c:strCache>
            </c:strRef>
          </c:tx>
          <c:spPr>
            <a:solidFill>
              <a:srgbClr val="FFFF00"/>
            </a:solidFill>
          </c:spPr>
          <c:invertIfNegative val="0"/>
          <c:cat>
            <c:strRef>
              <c:f>'4.2 MÉDIA 3º CICLO'!$D$52:$H$53</c:f>
              <c:strCache>
                <c:ptCount val="5"/>
                <c:pt idx="0">
                  <c:v>HGP</c:v>
                </c:pt>
                <c:pt idx="1">
                  <c:v>GEO</c:v>
                </c:pt>
                <c:pt idx="2">
                  <c:v>MAT</c:v>
                </c:pt>
                <c:pt idx="3">
                  <c:v>CN</c:v>
                </c:pt>
                <c:pt idx="4">
                  <c:v>FQ</c:v>
                </c:pt>
              </c:strCache>
            </c:strRef>
          </c:cat>
          <c:val>
            <c:numRef>
              <c:f>('4.2 MÉDIA 3º CICLO'!$D$56,'4.2 MÉDIA 3º CICLO'!$E$56,'4.2 MÉDIA 3º CICLO'!$F$56,'4.2 MÉDIA 3º CICLO'!$G$56,'4.2 MÉDIA 3º CICLO'!$H$56)</c:f>
              <c:numCache>
                <c:formatCode>0.00</c:formatCode>
                <c:ptCount val="5"/>
                <c:pt idx="0">
                  <c:v>2.8641975308641974</c:v>
                </c:pt>
                <c:pt idx="1">
                  <c:v>2.7222222222222223</c:v>
                </c:pt>
                <c:pt idx="2">
                  <c:v>2.9074074074074074</c:v>
                </c:pt>
                <c:pt idx="3">
                  <c:v>3.0864197530864197</c:v>
                </c:pt>
                <c:pt idx="4">
                  <c:v>2.8641975308641974</c:v>
                </c:pt>
              </c:numCache>
            </c:numRef>
          </c:val>
        </c:ser>
        <c:ser>
          <c:idx val="1"/>
          <c:order val="1"/>
          <c:tx>
            <c:strRef>
              <c:f>'4.2 MÉDIA 3º CICLO'!$C$24</c:f>
              <c:strCache>
                <c:ptCount val="1"/>
                <c:pt idx="0">
                  <c:v>8º</c:v>
                </c:pt>
              </c:strCache>
            </c:strRef>
          </c:tx>
          <c:spPr>
            <a:solidFill>
              <a:srgbClr val="00FF00"/>
            </a:solidFill>
          </c:spPr>
          <c:invertIfNegative val="0"/>
          <c:cat>
            <c:strRef>
              <c:f>'4.2 MÉDIA 3º CICLO'!$D$52:$H$53</c:f>
              <c:strCache>
                <c:ptCount val="5"/>
                <c:pt idx="0">
                  <c:v>HGP</c:v>
                </c:pt>
                <c:pt idx="1">
                  <c:v>GEO</c:v>
                </c:pt>
                <c:pt idx="2">
                  <c:v>MAT</c:v>
                </c:pt>
                <c:pt idx="3">
                  <c:v>CN</c:v>
                </c:pt>
                <c:pt idx="4">
                  <c:v>FQ</c:v>
                </c:pt>
              </c:strCache>
            </c:strRef>
          </c:cat>
          <c:val>
            <c:numRef>
              <c:f>('4.2 MÉDIA 3º CICLO'!$D$57,'4.2 MÉDIA 3º CICLO'!$E$57,'4.2 MÉDIA 3º CICLO'!$F$57,'4.2 MÉDIA 3º CICLO'!$G$57,'4.2 MÉDIA 3º CICLO'!$H$57)</c:f>
              <c:numCache>
                <c:formatCode>0.00</c:formatCode>
                <c:ptCount val="5"/>
                <c:pt idx="0">
                  <c:v>3.2416666666666667</c:v>
                </c:pt>
                <c:pt idx="1">
                  <c:v>3.3583333333333334</c:v>
                </c:pt>
                <c:pt idx="2">
                  <c:v>3.0583333333333331</c:v>
                </c:pt>
                <c:pt idx="3">
                  <c:v>3.45</c:v>
                </c:pt>
                <c:pt idx="4">
                  <c:v>3.25</c:v>
                </c:pt>
              </c:numCache>
            </c:numRef>
          </c:val>
        </c:ser>
        <c:ser>
          <c:idx val="2"/>
          <c:order val="2"/>
          <c:tx>
            <c:strRef>
              <c:f>'4.2 MÉDIA 3º CICLO'!$C$25</c:f>
              <c:strCache>
                <c:ptCount val="1"/>
                <c:pt idx="0">
                  <c:v>9º</c:v>
                </c:pt>
              </c:strCache>
            </c:strRef>
          </c:tx>
          <c:spPr>
            <a:solidFill>
              <a:srgbClr val="FF0000"/>
            </a:solidFill>
          </c:spPr>
          <c:invertIfNegative val="0"/>
          <c:cat>
            <c:strRef>
              <c:f>'4.2 MÉDIA 3º CICLO'!$D$52:$H$53</c:f>
              <c:strCache>
                <c:ptCount val="5"/>
                <c:pt idx="0">
                  <c:v>HGP</c:v>
                </c:pt>
                <c:pt idx="1">
                  <c:v>GEO</c:v>
                </c:pt>
                <c:pt idx="2">
                  <c:v>MAT</c:v>
                </c:pt>
                <c:pt idx="3">
                  <c:v>CN</c:v>
                </c:pt>
                <c:pt idx="4">
                  <c:v>FQ</c:v>
                </c:pt>
              </c:strCache>
            </c:strRef>
          </c:cat>
          <c:val>
            <c:numRef>
              <c:f>('4.2 MÉDIA 3º CICLO'!$D$58,'4.2 MÉDIA 3º CICLO'!$E$58,'4.2 MÉDIA 3º CICLO'!$F$58,'4.2 MÉDIA 3º CICLO'!$G$58,'4.2 MÉDIA 3º CICLO'!$H$58)</c:f>
              <c:numCache>
                <c:formatCode>0.00</c:formatCode>
                <c:ptCount val="5"/>
                <c:pt idx="0">
                  <c:v>3.3813559322033897</c:v>
                </c:pt>
                <c:pt idx="1">
                  <c:v>3.1016949152542375</c:v>
                </c:pt>
                <c:pt idx="2">
                  <c:v>3.0254237288135593</c:v>
                </c:pt>
                <c:pt idx="3">
                  <c:v>3.2966101694915255</c:v>
                </c:pt>
                <c:pt idx="4">
                  <c:v>3.1610169491525424</c:v>
                </c:pt>
              </c:numCache>
            </c:numRef>
          </c:val>
        </c:ser>
        <c:ser>
          <c:idx val="3"/>
          <c:order val="3"/>
          <c:tx>
            <c:strRef>
              <c:f>'4.2 MÉDIA 3º CICLO'!$C$26</c:f>
              <c:strCache>
                <c:ptCount val="1"/>
                <c:pt idx="0">
                  <c:v>MÉDIA DAS NOTAS DO 3ºCICLO</c:v>
                </c:pt>
              </c:strCache>
            </c:strRef>
          </c:tx>
          <c:spPr>
            <a:solidFill>
              <a:srgbClr val="1F497D">
                <a:lumMod val="20000"/>
                <a:lumOff val="80000"/>
              </a:srgbClr>
            </a:solidFill>
          </c:spPr>
          <c:invertIfNegative val="0"/>
          <c:cat>
            <c:strRef>
              <c:f>'4.2 MÉDIA 3º CICLO'!$D$52:$H$53</c:f>
              <c:strCache>
                <c:ptCount val="5"/>
                <c:pt idx="0">
                  <c:v>HGP</c:v>
                </c:pt>
                <c:pt idx="1">
                  <c:v>GEO</c:v>
                </c:pt>
                <c:pt idx="2">
                  <c:v>MAT</c:v>
                </c:pt>
                <c:pt idx="3">
                  <c:v>CN</c:v>
                </c:pt>
                <c:pt idx="4">
                  <c:v>FQ</c:v>
                </c:pt>
              </c:strCache>
            </c:strRef>
          </c:cat>
          <c:val>
            <c:numRef>
              <c:f>('4.2 MÉDIA 3º CICLO'!$D$59,'4.2 MÉDIA 3º CICLO'!$E$59,'4.2 MÉDIA 3º CICLO'!$F$59,'4.2 MÉDIA 3º CICLO'!$G$59,'4.2 MÉDIA 3º CICLO'!$H$59)</c:f>
              <c:numCache>
                <c:formatCode>0.00</c:formatCode>
                <c:ptCount val="5"/>
                <c:pt idx="0">
                  <c:v>3.1624067099114179</c:v>
                </c:pt>
                <c:pt idx="1">
                  <c:v>3.0607501569365976</c:v>
                </c:pt>
                <c:pt idx="2">
                  <c:v>2.9970548231847665</c:v>
                </c:pt>
                <c:pt idx="3">
                  <c:v>3.2776766408593154</c:v>
                </c:pt>
                <c:pt idx="4">
                  <c:v>3.0917381600055798</c:v>
                </c:pt>
              </c:numCache>
            </c:numRef>
          </c:val>
        </c:ser>
        <c:dLbls>
          <c:showLegendKey val="0"/>
          <c:showVal val="0"/>
          <c:showCatName val="0"/>
          <c:showSerName val="0"/>
          <c:showPercent val="0"/>
          <c:showBubbleSize val="0"/>
        </c:dLbls>
        <c:gapWidth val="150"/>
        <c:shape val="box"/>
        <c:axId val="123700736"/>
        <c:axId val="192370880"/>
        <c:axId val="0"/>
      </c:bar3DChart>
      <c:catAx>
        <c:axId val="123700736"/>
        <c:scaling>
          <c:orientation val="minMax"/>
        </c:scaling>
        <c:delete val="0"/>
        <c:axPos val="b"/>
        <c:majorTickMark val="out"/>
        <c:minorTickMark val="none"/>
        <c:tickLblPos val="nextTo"/>
        <c:crossAx val="192370880"/>
        <c:crosses val="autoZero"/>
        <c:auto val="1"/>
        <c:lblAlgn val="ctr"/>
        <c:lblOffset val="100"/>
        <c:noMultiLvlLbl val="0"/>
      </c:catAx>
      <c:valAx>
        <c:axId val="192370880"/>
        <c:scaling>
          <c:orientation val="minMax"/>
        </c:scaling>
        <c:delete val="0"/>
        <c:axPos val="l"/>
        <c:majorGridlines/>
        <c:numFmt formatCode="0.00" sourceLinked="1"/>
        <c:majorTickMark val="out"/>
        <c:minorTickMark val="none"/>
        <c:tickLblPos val="nextTo"/>
        <c:spPr>
          <a:ln>
            <a:noFill/>
          </a:ln>
        </c:spPr>
        <c:crossAx val="123700736"/>
        <c:crosses val="autoZero"/>
        <c:crossBetween val="between"/>
      </c:valAx>
    </c:plotArea>
    <c:legend>
      <c:legendPos val="b"/>
      <c:overlay val="0"/>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1564520896426422"/>
          <c:y val="2.6912986483084402E-2"/>
          <c:w val="0.87943171411265897"/>
          <c:h val="0.7203593649154505"/>
        </c:manualLayout>
      </c:layout>
      <c:bar3DChart>
        <c:barDir val="col"/>
        <c:grouping val="clustered"/>
        <c:varyColors val="0"/>
        <c:ser>
          <c:idx val="0"/>
          <c:order val="0"/>
          <c:tx>
            <c:strRef>
              <c:f>'4.2 MÉDIA 3º CICLO'!$C$23</c:f>
              <c:strCache>
                <c:ptCount val="1"/>
                <c:pt idx="0">
                  <c:v>7º</c:v>
                </c:pt>
              </c:strCache>
            </c:strRef>
          </c:tx>
          <c:spPr>
            <a:solidFill>
              <a:srgbClr val="FFFF00"/>
            </a:solidFill>
          </c:spPr>
          <c:invertIfNegative val="0"/>
          <c:cat>
            <c:strRef>
              <c:f>'4.2 MÉDIA 3º CICLO'!$D$78:$I$79</c:f>
              <c:strCache>
                <c:ptCount val="6"/>
                <c:pt idx="0">
                  <c:v>EV</c:v>
                </c:pt>
                <c:pt idx="1">
                  <c:v>ED. ART.</c:v>
                </c:pt>
                <c:pt idx="2">
                  <c:v>ET</c:v>
                </c:pt>
                <c:pt idx="3">
                  <c:v>EF</c:v>
                </c:pt>
                <c:pt idx="4">
                  <c:v>EMRC</c:v>
                </c:pt>
                <c:pt idx="5">
                  <c:v>I. Tic.</c:v>
                </c:pt>
              </c:strCache>
            </c:strRef>
          </c:cat>
          <c:val>
            <c:numRef>
              <c:f>('4.2 MÉDIA 3º CICLO'!$D$82,'4.2 MÉDIA 3º CICLO'!$E$82,'4.2 MÉDIA 3º CICLO'!$F$82,'4.2 MÉDIA 3º CICLO'!$G$82,'4.2 MÉDIA 3º CICLO'!$H$82,'4.2 MÉDIA 3º CICLO'!$I$82)</c:f>
              <c:numCache>
                <c:formatCode>0.00</c:formatCode>
                <c:ptCount val="6"/>
                <c:pt idx="0">
                  <c:v>3.4012345679012346</c:v>
                </c:pt>
                <c:pt idx="1">
                  <c:v>3.2469135802469138</c:v>
                </c:pt>
                <c:pt idx="2">
                  <c:v>3.3209876543209877</c:v>
                </c:pt>
                <c:pt idx="3">
                  <c:v>3.5493827160493829</c:v>
                </c:pt>
                <c:pt idx="4">
                  <c:v>3.8360655737704916</c:v>
                </c:pt>
                <c:pt idx="5">
                  <c:v>0</c:v>
                </c:pt>
              </c:numCache>
            </c:numRef>
          </c:val>
        </c:ser>
        <c:ser>
          <c:idx val="1"/>
          <c:order val="1"/>
          <c:tx>
            <c:strRef>
              <c:f>'4.2 MÉDIA 3º CICLO'!$C$24</c:f>
              <c:strCache>
                <c:ptCount val="1"/>
                <c:pt idx="0">
                  <c:v>8º</c:v>
                </c:pt>
              </c:strCache>
            </c:strRef>
          </c:tx>
          <c:spPr>
            <a:solidFill>
              <a:srgbClr val="00FF00"/>
            </a:solidFill>
          </c:spPr>
          <c:invertIfNegative val="0"/>
          <c:cat>
            <c:strRef>
              <c:f>'4.2 MÉDIA 3º CICLO'!$D$78:$I$79</c:f>
              <c:strCache>
                <c:ptCount val="6"/>
                <c:pt idx="0">
                  <c:v>EV</c:v>
                </c:pt>
                <c:pt idx="1">
                  <c:v>ED. ART.</c:v>
                </c:pt>
                <c:pt idx="2">
                  <c:v>ET</c:v>
                </c:pt>
                <c:pt idx="3">
                  <c:v>EF</c:v>
                </c:pt>
                <c:pt idx="4">
                  <c:v>EMRC</c:v>
                </c:pt>
                <c:pt idx="5">
                  <c:v>I. Tic.</c:v>
                </c:pt>
              </c:strCache>
            </c:strRef>
          </c:cat>
          <c:val>
            <c:numRef>
              <c:f>('4.2 MÉDIA 3º CICLO'!$D$83,'4.2 MÉDIA 3º CICLO'!$E$83,'4.2 MÉDIA 3º CICLO'!$F$83,'4.2 MÉDIA 3º CICLO'!$G$83,'4.2 MÉDIA 3º CICLO'!$H$83,'4.2 MÉDIA 3º CICLO'!$I$83)</c:f>
              <c:numCache>
                <c:formatCode>0.00</c:formatCode>
                <c:ptCount val="6"/>
                <c:pt idx="0">
                  <c:v>3.3916666666666666</c:v>
                </c:pt>
                <c:pt idx="1">
                  <c:v>3.5333333333333332</c:v>
                </c:pt>
                <c:pt idx="2">
                  <c:v>3.4833333333333334</c:v>
                </c:pt>
                <c:pt idx="3">
                  <c:v>3.6333333333333333</c:v>
                </c:pt>
                <c:pt idx="4">
                  <c:v>4.083333333333333</c:v>
                </c:pt>
                <c:pt idx="5">
                  <c:v>0</c:v>
                </c:pt>
              </c:numCache>
            </c:numRef>
          </c:val>
        </c:ser>
        <c:ser>
          <c:idx val="2"/>
          <c:order val="2"/>
          <c:tx>
            <c:strRef>
              <c:f>'4.2 MÉDIA 3º CICLO'!$C$25</c:f>
              <c:strCache>
                <c:ptCount val="1"/>
                <c:pt idx="0">
                  <c:v>9º</c:v>
                </c:pt>
              </c:strCache>
            </c:strRef>
          </c:tx>
          <c:spPr>
            <a:solidFill>
              <a:srgbClr val="FF0000"/>
            </a:solidFill>
          </c:spPr>
          <c:invertIfNegative val="0"/>
          <c:cat>
            <c:strRef>
              <c:f>'4.2 MÉDIA 3º CICLO'!$D$78:$I$79</c:f>
              <c:strCache>
                <c:ptCount val="6"/>
                <c:pt idx="0">
                  <c:v>EV</c:v>
                </c:pt>
                <c:pt idx="1">
                  <c:v>ED. ART.</c:v>
                </c:pt>
                <c:pt idx="2">
                  <c:v>ET</c:v>
                </c:pt>
                <c:pt idx="3">
                  <c:v>EF</c:v>
                </c:pt>
                <c:pt idx="4">
                  <c:v>EMRC</c:v>
                </c:pt>
                <c:pt idx="5">
                  <c:v>I. Tic.</c:v>
                </c:pt>
              </c:strCache>
            </c:strRef>
          </c:cat>
          <c:val>
            <c:numRef>
              <c:f>('4.2 MÉDIA 3º CICLO'!$D$84,'4.2 MÉDIA 3º CICLO'!$E$84,'4.2 MÉDIA 3º CICLO'!$F$84,'4.2 MÉDIA 3º CICLO'!$G$84,'4.2 MÉDIA 3º CICLO'!$H$84,'4.2 MÉDIA 3º CICLO'!$I$84)</c:f>
              <c:numCache>
                <c:formatCode>0.00</c:formatCode>
                <c:ptCount val="6"/>
                <c:pt idx="0">
                  <c:v>3.425925925925926</c:v>
                </c:pt>
                <c:pt idx="1">
                  <c:v>3.6666666666666665</c:v>
                </c:pt>
                <c:pt idx="2">
                  <c:v>3.9729729729729728</c:v>
                </c:pt>
                <c:pt idx="3">
                  <c:v>3.5423728813559321</c:v>
                </c:pt>
                <c:pt idx="4">
                  <c:v>4.75</c:v>
                </c:pt>
                <c:pt idx="5">
                  <c:v>3.5762711864406778</c:v>
                </c:pt>
              </c:numCache>
            </c:numRef>
          </c:val>
        </c:ser>
        <c:ser>
          <c:idx val="3"/>
          <c:order val="3"/>
          <c:tx>
            <c:strRef>
              <c:f>'4.2 MÉDIA 3º CICLO'!$C$26</c:f>
              <c:strCache>
                <c:ptCount val="1"/>
                <c:pt idx="0">
                  <c:v>MÉDIA DAS NOTAS DO 3ºCICLO</c:v>
                </c:pt>
              </c:strCache>
            </c:strRef>
          </c:tx>
          <c:spPr>
            <a:solidFill>
              <a:srgbClr val="1F497D">
                <a:lumMod val="20000"/>
                <a:lumOff val="80000"/>
              </a:srgbClr>
            </a:solidFill>
          </c:spPr>
          <c:invertIfNegative val="0"/>
          <c:cat>
            <c:strRef>
              <c:f>'4.2 MÉDIA 3º CICLO'!$D$78:$I$79</c:f>
              <c:strCache>
                <c:ptCount val="6"/>
                <c:pt idx="0">
                  <c:v>EV</c:v>
                </c:pt>
                <c:pt idx="1">
                  <c:v>ED. ART.</c:v>
                </c:pt>
                <c:pt idx="2">
                  <c:v>ET</c:v>
                </c:pt>
                <c:pt idx="3">
                  <c:v>EF</c:v>
                </c:pt>
                <c:pt idx="4">
                  <c:v>EMRC</c:v>
                </c:pt>
                <c:pt idx="5">
                  <c:v>I. Tic.</c:v>
                </c:pt>
              </c:strCache>
            </c:strRef>
          </c:cat>
          <c:val>
            <c:numRef>
              <c:f>('4.2 MÉDIA 3º CICLO'!$D$85,'4.2 MÉDIA 3º CICLO'!$E$85,'4.2 MÉDIA 3º CICLO'!$F$85,'4.2 MÉDIA 3º CICLO'!$G$85,'4.2 MÉDIA 3º CICLO'!$H$85,'4.2 MÉDIA 3º CICLO'!$I$85)</c:f>
              <c:numCache>
                <c:formatCode>0.00</c:formatCode>
                <c:ptCount val="6"/>
                <c:pt idx="0">
                  <c:v>3.4062757201646092</c:v>
                </c:pt>
                <c:pt idx="1">
                  <c:v>3.4823045267489712</c:v>
                </c:pt>
                <c:pt idx="2">
                  <c:v>3.5924313202090978</c:v>
                </c:pt>
                <c:pt idx="3">
                  <c:v>3.5750296435795494</c:v>
                </c:pt>
                <c:pt idx="4">
                  <c:v>4.2231329690346078</c:v>
                </c:pt>
                <c:pt idx="5">
                  <c:v>3.5762711864406778</c:v>
                </c:pt>
              </c:numCache>
            </c:numRef>
          </c:val>
        </c:ser>
        <c:dLbls>
          <c:showLegendKey val="0"/>
          <c:showVal val="0"/>
          <c:showCatName val="0"/>
          <c:showSerName val="0"/>
          <c:showPercent val="0"/>
          <c:showBubbleSize val="0"/>
        </c:dLbls>
        <c:gapWidth val="150"/>
        <c:shape val="box"/>
        <c:axId val="123701760"/>
        <c:axId val="194839104"/>
        <c:axId val="0"/>
      </c:bar3DChart>
      <c:catAx>
        <c:axId val="123701760"/>
        <c:scaling>
          <c:orientation val="minMax"/>
        </c:scaling>
        <c:delete val="0"/>
        <c:axPos val="b"/>
        <c:majorTickMark val="out"/>
        <c:minorTickMark val="none"/>
        <c:tickLblPos val="nextTo"/>
        <c:crossAx val="194839104"/>
        <c:crosses val="autoZero"/>
        <c:auto val="1"/>
        <c:lblAlgn val="ctr"/>
        <c:lblOffset val="100"/>
        <c:noMultiLvlLbl val="0"/>
      </c:catAx>
      <c:valAx>
        <c:axId val="194839104"/>
        <c:scaling>
          <c:orientation val="minMax"/>
        </c:scaling>
        <c:delete val="0"/>
        <c:axPos val="l"/>
        <c:majorGridlines/>
        <c:numFmt formatCode="0.00" sourceLinked="1"/>
        <c:majorTickMark val="out"/>
        <c:minorTickMark val="none"/>
        <c:tickLblPos val="nextTo"/>
        <c:crossAx val="123701760"/>
        <c:crosses val="autoZero"/>
        <c:crossBetween val="between"/>
      </c:valAx>
    </c:plotArea>
    <c:legend>
      <c:legendPos val="b"/>
      <c:overlay val="0"/>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pt-PT" sz="1175" b="1" i="0" u="none" strike="noStrike" baseline="0">
                <a:solidFill>
                  <a:srgbClr val="000000"/>
                </a:solidFill>
                <a:latin typeface="Arial"/>
                <a:cs typeface="Arial"/>
              </a:rPr>
              <a:t>PERCENTAGEM DE ALUNOS COM </a:t>
            </a:r>
          </a:p>
          <a:p>
            <a:pPr>
              <a:defRPr sz="975" b="0" i="0" u="none" strike="noStrike" baseline="0">
                <a:solidFill>
                  <a:srgbClr val="000000"/>
                </a:solidFill>
                <a:latin typeface="Arial"/>
                <a:ea typeface="Arial"/>
                <a:cs typeface="Arial"/>
              </a:defRPr>
            </a:pPr>
            <a:r>
              <a:rPr lang="pt-PT" sz="1175" b="1" i="0" u="sng" strike="noStrike" baseline="0">
                <a:solidFill>
                  <a:srgbClr val="000000"/>
                </a:solidFill>
                <a:latin typeface="Arial"/>
                <a:cs typeface="Arial"/>
              </a:rPr>
              <a:t>NÃO SATISFAZ</a:t>
            </a:r>
            <a:endParaRPr lang="pt-PT" sz="1175" b="1" i="0" u="none" strike="noStrike" baseline="0">
              <a:solidFill>
                <a:srgbClr val="000000"/>
              </a:solidFill>
              <a:latin typeface="Arial"/>
              <a:cs typeface="Arial"/>
            </a:endParaRPr>
          </a:p>
          <a:p>
            <a:pPr>
              <a:defRPr sz="975" b="0" i="0" u="none" strike="noStrike" baseline="0">
                <a:solidFill>
                  <a:srgbClr val="000000"/>
                </a:solidFill>
                <a:latin typeface="Arial"/>
                <a:ea typeface="Arial"/>
                <a:cs typeface="Arial"/>
              </a:defRPr>
            </a:pPr>
            <a:r>
              <a:rPr lang="pt-PT" sz="1175" b="1" i="0" u="none" strike="noStrike" baseline="0">
                <a:solidFill>
                  <a:srgbClr val="000000"/>
                </a:solidFill>
                <a:latin typeface="Arial"/>
                <a:cs typeface="Arial"/>
              </a:rPr>
              <a:t> NAS ÁREAS CURRICULARES NÃO DISCIPLINARES</a:t>
            </a:r>
          </a:p>
        </c:rich>
      </c:tx>
      <c:layout>
        <c:manualLayout>
          <c:xMode val="edge"/>
          <c:yMode val="edge"/>
          <c:x val="0.11849710982659002"/>
          <c:y val="1.5974440894568689E-2"/>
        </c:manualLayout>
      </c:layout>
      <c:overlay val="0"/>
      <c:spPr>
        <a:noFill/>
        <a:ln w="25400">
          <a:noFill/>
        </a:ln>
      </c:spPr>
    </c:title>
    <c:autoTitleDeleted val="0"/>
    <c:plotArea>
      <c:layout>
        <c:manualLayout>
          <c:layoutTarget val="inner"/>
          <c:xMode val="edge"/>
          <c:yMode val="edge"/>
          <c:x val="7.6589595375722547E-2"/>
          <c:y val="0.34824335476262164"/>
          <c:w val="0.68930635838150289"/>
          <c:h val="0.45367482914029772"/>
        </c:manualLayout>
      </c:layout>
      <c:barChart>
        <c:barDir val="col"/>
        <c:grouping val="clustered"/>
        <c:varyColors val="0"/>
        <c:ser>
          <c:idx val="0"/>
          <c:order val="0"/>
          <c:tx>
            <c:v>5º ANO</c:v>
          </c:tx>
          <c:spPr>
            <a:solidFill>
              <a:srgbClr val="3366FF"/>
            </a:solidFill>
            <a:ln w="12700">
              <a:solidFill>
                <a:srgbClr val="000000"/>
              </a:solidFill>
              <a:prstDash val="solid"/>
            </a:ln>
          </c:spPr>
          <c:invertIfNegative val="0"/>
          <c:cat>
            <c:strLit>
              <c:ptCount val="3"/>
              <c:pt idx="0">
                <c:v>ÁREA DE PROJECTO</c:v>
              </c:pt>
              <c:pt idx="1">
                <c:v>ESTUDO ACOMPANHADO</c:v>
              </c:pt>
              <c:pt idx="2">
                <c:v>FORMAÇÃO CÍVICA</c:v>
              </c:pt>
            </c:strLit>
          </c:cat>
          <c:val>
            <c:numRef>
              <c:f>('5 - AREAS NÃO DISC'!$D$16,'5 - AREAS NÃO DISC'!$F$16,'5 - AREAS NÃO DISC'!$H$16)</c:f>
              <c:numCache>
                <c:formatCode>0.0%</c:formatCode>
                <c:ptCount val="3"/>
                <c:pt idx="0">
                  <c:v>0.17293233082706766</c:v>
                </c:pt>
                <c:pt idx="1">
                  <c:v>0.3007518796992481</c:v>
                </c:pt>
                <c:pt idx="2">
                  <c:v>0.12781954887218044</c:v>
                </c:pt>
              </c:numCache>
            </c:numRef>
          </c:val>
        </c:ser>
        <c:ser>
          <c:idx val="1"/>
          <c:order val="1"/>
          <c:tx>
            <c:v>6º ANO</c:v>
          </c:tx>
          <c:spPr>
            <a:solidFill>
              <a:srgbClr val="FF00FF"/>
            </a:solidFill>
            <a:ln w="12700">
              <a:solidFill>
                <a:srgbClr val="000000"/>
              </a:solidFill>
              <a:prstDash val="solid"/>
            </a:ln>
          </c:spPr>
          <c:invertIfNegative val="0"/>
          <c:cat>
            <c:strLit>
              <c:ptCount val="3"/>
              <c:pt idx="0">
                <c:v>ÁREA DE PROJECTO</c:v>
              </c:pt>
              <c:pt idx="1">
                <c:v>ESTUDO ACOMPANHADO</c:v>
              </c:pt>
              <c:pt idx="2">
                <c:v>FORMAÇÃO CÍVICA</c:v>
              </c:pt>
            </c:strLit>
          </c:cat>
          <c:val>
            <c:numRef>
              <c:f>('5 - AREAS NÃO DISC'!$D$17,'5 - AREAS NÃO DISC'!$F$17,'5 - AREAS NÃO DISC'!$H$17)</c:f>
              <c:numCache>
                <c:formatCode>0.0%</c:formatCode>
                <c:ptCount val="3"/>
                <c:pt idx="0">
                  <c:v>0.1111111111111111</c:v>
                </c:pt>
                <c:pt idx="1">
                  <c:v>0.23015873015873015</c:v>
                </c:pt>
                <c:pt idx="2">
                  <c:v>0.16666666666666666</c:v>
                </c:pt>
              </c:numCache>
            </c:numRef>
          </c:val>
        </c:ser>
        <c:ser>
          <c:idx val="2"/>
          <c:order val="2"/>
          <c:tx>
            <c:v>7º ANO</c:v>
          </c:tx>
          <c:spPr>
            <a:solidFill>
              <a:srgbClr val="FFFF00"/>
            </a:solidFill>
            <a:ln w="12700">
              <a:solidFill>
                <a:srgbClr val="000000"/>
              </a:solidFill>
              <a:prstDash val="solid"/>
            </a:ln>
          </c:spPr>
          <c:invertIfNegative val="0"/>
          <c:cat>
            <c:strLit>
              <c:ptCount val="3"/>
              <c:pt idx="0">
                <c:v>ÁREA DE PROJECTO</c:v>
              </c:pt>
              <c:pt idx="1">
                <c:v>ESTUDO ACOMPANHADO</c:v>
              </c:pt>
              <c:pt idx="2">
                <c:v>FORMAÇÃO CÍVICA</c:v>
              </c:pt>
            </c:strLit>
          </c:cat>
          <c:val>
            <c:numRef>
              <c:f>('5 - AREAS NÃO DISC'!$D$18,'5 - AREAS NÃO DISC'!$F$18,'5 - AREAS NÃO DISC'!$H$18)</c:f>
              <c:numCache>
                <c:formatCode>0.0%</c:formatCode>
                <c:ptCount val="3"/>
                <c:pt idx="0">
                  <c:v>9.2592592592592587E-2</c:v>
                </c:pt>
                <c:pt idx="1">
                  <c:v>9.2592592592592587E-2</c:v>
                </c:pt>
                <c:pt idx="2">
                  <c:v>0.16049382716049382</c:v>
                </c:pt>
              </c:numCache>
            </c:numRef>
          </c:val>
        </c:ser>
        <c:ser>
          <c:idx val="3"/>
          <c:order val="3"/>
          <c:tx>
            <c:v>8º ANO</c:v>
          </c:tx>
          <c:spPr>
            <a:solidFill>
              <a:srgbClr val="00FF00"/>
            </a:solidFill>
            <a:ln w="12700">
              <a:solidFill>
                <a:srgbClr val="000000"/>
              </a:solidFill>
              <a:prstDash val="solid"/>
            </a:ln>
          </c:spPr>
          <c:invertIfNegative val="0"/>
          <c:cat>
            <c:strLit>
              <c:ptCount val="3"/>
              <c:pt idx="0">
                <c:v>ÁREA DE PROJECTO</c:v>
              </c:pt>
              <c:pt idx="1">
                <c:v>ESTUDO ACOMPANHADO</c:v>
              </c:pt>
              <c:pt idx="2">
                <c:v>FORMAÇÃO CÍVICA</c:v>
              </c:pt>
            </c:strLit>
          </c:cat>
          <c:val>
            <c:numRef>
              <c:f>('5 - AREAS NÃO DISC'!$D$19,'5 - AREAS NÃO DISC'!$F$19,'5 - AREAS NÃO DISC'!$H$19)</c:f>
              <c:numCache>
                <c:formatCode>0.0%</c:formatCode>
                <c:ptCount val="3"/>
                <c:pt idx="0">
                  <c:v>1.6666666666666666E-2</c:v>
                </c:pt>
                <c:pt idx="1">
                  <c:v>5.8333333333333334E-2</c:v>
                </c:pt>
                <c:pt idx="2">
                  <c:v>0</c:v>
                </c:pt>
              </c:numCache>
            </c:numRef>
          </c:val>
        </c:ser>
        <c:ser>
          <c:idx val="4"/>
          <c:order val="4"/>
          <c:tx>
            <c:v>9º ANO</c:v>
          </c:tx>
          <c:spPr>
            <a:solidFill>
              <a:srgbClr val="FF0000"/>
            </a:solidFill>
            <a:ln w="12700">
              <a:solidFill>
                <a:srgbClr val="000000"/>
              </a:solidFill>
              <a:prstDash val="solid"/>
            </a:ln>
          </c:spPr>
          <c:invertIfNegative val="0"/>
          <c:cat>
            <c:strLit>
              <c:ptCount val="3"/>
              <c:pt idx="0">
                <c:v>ÁREA DE PROJECTO</c:v>
              </c:pt>
              <c:pt idx="1">
                <c:v>ESTUDO ACOMPANHADO</c:v>
              </c:pt>
              <c:pt idx="2">
                <c:v>FORMAÇÃO CÍVICA</c:v>
              </c:pt>
            </c:strLit>
          </c:cat>
          <c:val>
            <c:numRef>
              <c:f>('5 - AREAS NÃO DISC'!$D$20,'5 - AREAS NÃO DISC'!$F$20,'5 - AREAS NÃO DISC'!$H$20)</c:f>
              <c:numCache>
                <c:formatCode>0.0%</c:formatCode>
                <c:ptCount val="3"/>
                <c:pt idx="0">
                  <c:v>1.6949152542372881E-2</c:v>
                </c:pt>
                <c:pt idx="1">
                  <c:v>6.7796610169491525E-2</c:v>
                </c:pt>
                <c:pt idx="2">
                  <c:v>8.4745762711864406E-3</c:v>
                </c:pt>
              </c:numCache>
            </c:numRef>
          </c:val>
        </c:ser>
        <c:dLbls>
          <c:showLegendKey val="0"/>
          <c:showVal val="0"/>
          <c:showCatName val="0"/>
          <c:showSerName val="0"/>
          <c:showPercent val="0"/>
          <c:showBubbleSize val="0"/>
        </c:dLbls>
        <c:gapWidth val="150"/>
        <c:axId val="111985664"/>
        <c:axId val="194843136"/>
      </c:barChart>
      <c:catAx>
        <c:axId val="111985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pt-PT"/>
          </a:p>
        </c:txPr>
        <c:crossAx val="194843136"/>
        <c:crosses val="autoZero"/>
        <c:auto val="1"/>
        <c:lblAlgn val="ctr"/>
        <c:lblOffset val="100"/>
        <c:tickLblSkip val="1"/>
        <c:tickMarkSkip val="1"/>
        <c:noMultiLvlLbl val="0"/>
      </c:catAx>
      <c:valAx>
        <c:axId val="194843136"/>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pt-PT"/>
          </a:p>
        </c:txPr>
        <c:crossAx val="111985664"/>
        <c:crosses val="autoZero"/>
        <c:crossBetween val="between"/>
        <c:majorUnit val="0.2"/>
      </c:valAx>
      <c:spPr>
        <a:solidFill>
          <a:srgbClr val="FFFFFF"/>
        </a:solidFill>
        <a:ln w="12700">
          <a:solidFill>
            <a:srgbClr val="808080"/>
          </a:solidFill>
          <a:prstDash val="solid"/>
        </a:ln>
      </c:spPr>
    </c:plotArea>
    <c:legend>
      <c:legendPos val="r"/>
      <c:layout>
        <c:manualLayout>
          <c:xMode val="edge"/>
          <c:yMode val="edge"/>
          <c:x val="0.81084919648202125"/>
          <c:y val="0.37060760690334082"/>
          <c:w val="0.17903522585992607"/>
          <c:h val="0.3386586752737471"/>
        </c:manualLayout>
      </c:layout>
      <c:overlay val="0"/>
      <c:spPr>
        <a:solidFill>
          <a:srgbClr val="FFFFFF"/>
        </a:solidFill>
        <a:ln w="25400">
          <a:noFill/>
        </a:ln>
      </c:spPr>
      <c:txPr>
        <a:bodyPr/>
        <a:lstStyle/>
        <a:p>
          <a:pPr>
            <a:defRPr sz="895"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pt-PT"/>
              <a:t>PERCENTAGEM DE ALUNOS QUE FICARAM RETIDOS E COM 
RETENÇÃO REPETIDA</a:t>
            </a:r>
          </a:p>
        </c:rich>
      </c:tx>
      <c:layout>
        <c:manualLayout>
          <c:xMode val="edge"/>
          <c:yMode val="edge"/>
          <c:x val="0.1784672955484532"/>
          <c:y val="3.4591194968553458E-2"/>
        </c:manualLayout>
      </c:layout>
      <c:overlay val="0"/>
      <c:spPr>
        <a:noFill/>
        <a:ln w="25400">
          <a:noFill/>
        </a:ln>
      </c:spPr>
    </c:title>
    <c:autoTitleDeleted val="0"/>
    <c:view3D>
      <c:rotX val="10"/>
      <c:hPercent val="52"/>
      <c:rotY val="18"/>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9.5634192715974328E-2"/>
          <c:y val="0.21698179841599988"/>
          <c:w val="0.87526076377010353"/>
          <c:h val="0.66037938648348105"/>
        </c:manualLayout>
      </c:layout>
      <c:bar3DChart>
        <c:barDir val="col"/>
        <c:grouping val="clustered"/>
        <c:varyColors val="0"/>
        <c:ser>
          <c:idx val="0"/>
          <c:order val="0"/>
          <c:spPr>
            <a:solidFill>
              <a:srgbClr val="FF0000"/>
            </a:solidFill>
            <a:ln w="12700">
              <a:solidFill>
                <a:srgbClr val="000000"/>
              </a:solidFill>
              <a:prstDash val="solid"/>
            </a:ln>
          </c:spPr>
          <c:invertIfNegative val="0"/>
          <c:cat>
            <c:strRef>
              <c:f>'6 - ALUNOS RET. REP.'!$C$10:$C$15</c:f>
              <c:strCache>
                <c:ptCount val="6"/>
                <c:pt idx="0">
                  <c:v>5º</c:v>
                </c:pt>
                <c:pt idx="1">
                  <c:v>6º</c:v>
                </c:pt>
                <c:pt idx="2">
                  <c:v>7º</c:v>
                </c:pt>
                <c:pt idx="3">
                  <c:v>8º</c:v>
                </c:pt>
                <c:pt idx="4">
                  <c:v>9º</c:v>
                </c:pt>
                <c:pt idx="5">
                  <c:v>TOTAL</c:v>
                </c:pt>
              </c:strCache>
            </c:strRef>
          </c:cat>
          <c:val>
            <c:numRef>
              <c:f>'6 - ALUNOS RET. REP.'!$G$10:$G$15</c:f>
              <c:numCache>
                <c:formatCode>0.0%</c:formatCode>
                <c:ptCount val="6"/>
                <c:pt idx="0">
                  <c:v>0.77777777777777779</c:v>
                </c:pt>
                <c:pt idx="1">
                  <c:v>0.72222222222222221</c:v>
                </c:pt>
                <c:pt idx="2">
                  <c:v>0.64406779661016944</c:v>
                </c:pt>
                <c:pt idx="3">
                  <c:v>0.66666666666666663</c:v>
                </c:pt>
                <c:pt idx="4">
                  <c:v>0.33333333333333331</c:v>
                </c:pt>
                <c:pt idx="5">
                  <c:v>0.63571428571428568</c:v>
                </c:pt>
              </c:numCache>
            </c:numRef>
          </c:val>
        </c:ser>
        <c:dLbls>
          <c:showLegendKey val="0"/>
          <c:showVal val="0"/>
          <c:showCatName val="0"/>
          <c:showSerName val="0"/>
          <c:showPercent val="0"/>
          <c:showBubbleSize val="0"/>
        </c:dLbls>
        <c:gapWidth val="150"/>
        <c:shape val="box"/>
        <c:axId val="133039616"/>
        <c:axId val="194846016"/>
        <c:axId val="0"/>
      </c:bar3DChart>
      <c:catAx>
        <c:axId val="1330396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94846016"/>
        <c:crosses val="autoZero"/>
        <c:auto val="1"/>
        <c:lblAlgn val="ctr"/>
        <c:lblOffset val="100"/>
        <c:tickLblSkip val="1"/>
        <c:tickMarkSkip val="1"/>
        <c:noMultiLvlLbl val="0"/>
      </c:catAx>
      <c:valAx>
        <c:axId val="194846016"/>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33039616"/>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t-PT"/>
              <a:t>PERCENTAGEM DE ALUNOS COM PLANO DE RECUPERAÇÃO</a:t>
            </a:r>
          </a:p>
        </c:rich>
      </c:tx>
      <c:layout>
        <c:manualLayout>
          <c:xMode val="edge"/>
          <c:yMode val="edge"/>
          <c:x val="0.15081033023222265"/>
          <c:y val="4.3274847878741848E-2"/>
        </c:manualLayout>
      </c:layout>
      <c:overlay val="0"/>
      <c:spPr>
        <a:noFill/>
        <a:ln w="25400">
          <a:noFill/>
        </a:ln>
      </c:spPr>
    </c:title>
    <c:autoTitleDeleted val="0"/>
    <c:view3D>
      <c:rotX val="15"/>
      <c:hPercent val="44"/>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483754512635476E-2"/>
          <c:y val="0.23028391167192441"/>
          <c:w val="0.88989169675090263"/>
          <c:h val="0.64353312302839161"/>
        </c:manualLayout>
      </c:layout>
      <c:bar3DChart>
        <c:barDir val="col"/>
        <c:grouping val="clustered"/>
        <c:varyColors val="0"/>
        <c:ser>
          <c:idx val="0"/>
          <c:order val="0"/>
          <c:spPr>
            <a:solidFill>
              <a:srgbClr val="00FF00"/>
            </a:solidFill>
            <a:ln w="12700">
              <a:solidFill>
                <a:srgbClr val="000000"/>
              </a:solidFill>
              <a:prstDash val="solid"/>
            </a:ln>
          </c:spPr>
          <c:invertIfNegative val="0"/>
          <c:cat>
            <c:strLit>
              <c:ptCount val="5"/>
              <c:pt idx="0">
                <c:v>5º ANO</c:v>
              </c:pt>
              <c:pt idx="1">
                <c:v>6º ANO</c:v>
              </c:pt>
              <c:pt idx="2">
                <c:v>7º ANO</c:v>
              </c:pt>
              <c:pt idx="3">
                <c:v>8º ANO</c:v>
              </c:pt>
              <c:pt idx="4">
                <c:v>9º ANO</c:v>
              </c:pt>
            </c:strLit>
          </c:cat>
          <c:val>
            <c:numRef>
              <c:f>'6 - ALUNOS RET. REP.'!$N$10:$N$14</c:f>
              <c:numCache>
                <c:formatCode>0.0%</c:formatCode>
                <c:ptCount val="5"/>
                <c:pt idx="0">
                  <c:v>0.38518518518518519</c:v>
                </c:pt>
                <c:pt idx="1">
                  <c:v>0.47244094488188976</c:v>
                </c:pt>
                <c:pt idx="2">
                  <c:v>0.59876543209876543</c:v>
                </c:pt>
                <c:pt idx="3">
                  <c:v>0.58333333333333337</c:v>
                </c:pt>
                <c:pt idx="4">
                  <c:v>0.5423728813559322</c:v>
                </c:pt>
              </c:numCache>
            </c:numRef>
          </c:val>
        </c:ser>
        <c:dLbls>
          <c:showLegendKey val="0"/>
          <c:showVal val="0"/>
          <c:showCatName val="0"/>
          <c:showSerName val="0"/>
          <c:showPercent val="0"/>
          <c:showBubbleSize val="0"/>
        </c:dLbls>
        <c:gapWidth val="150"/>
        <c:shape val="box"/>
        <c:axId val="133040640"/>
        <c:axId val="197362816"/>
        <c:axId val="0"/>
      </c:bar3DChart>
      <c:catAx>
        <c:axId val="1330406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97362816"/>
        <c:crosses val="autoZero"/>
        <c:auto val="1"/>
        <c:lblAlgn val="ctr"/>
        <c:lblOffset val="100"/>
        <c:tickLblSkip val="1"/>
        <c:tickMarkSkip val="1"/>
        <c:noMultiLvlLbl val="0"/>
      </c:catAx>
      <c:valAx>
        <c:axId val="197362816"/>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33040640"/>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pt-PT" sz="1200" b="0" i="0" u="none" strike="noStrike" baseline="0">
                <a:solidFill>
                  <a:srgbClr val="000000"/>
                </a:solidFill>
                <a:latin typeface="Arial"/>
                <a:cs typeface="Arial"/>
              </a:rPr>
              <a:t>Percentagem de alunos que </a:t>
            </a:r>
          </a:p>
          <a:p>
            <a:pPr>
              <a:defRPr sz="1200" b="0" i="0" u="none" strike="noStrike" baseline="0">
                <a:solidFill>
                  <a:srgbClr val="000000"/>
                </a:solidFill>
                <a:latin typeface="Arial"/>
                <a:ea typeface="Arial"/>
                <a:cs typeface="Arial"/>
              </a:defRPr>
            </a:pPr>
            <a:r>
              <a:rPr lang="pt-PT" sz="1200" b="1" i="0" u="none" strike="noStrike" baseline="0">
                <a:solidFill>
                  <a:srgbClr val="000000"/>
                </a:solidFill>
                <a:latin typeface="Arial"/>
                <a:cs typeface="Arial"/>
              </a:rPr>
              <a:t>progrediram</a:t>
            </a:r>
          </a:p>
        </c:rich>
      </c:tx>
      <c:layout>
        <c:manualLayout>
          <c:xMode val="edge"/>
          <c:yMode val="edge"/>
          <c:x val="0.27831817139362858"/>
          <c:y val="3.968253968253968E-2"/>
        </c:manualLayout>
      </c:layout>
      <c:overlay val="0"/>
      <c:spPr>
        <a:noFill/>
        <a:ln w="25400">
          <a:noFill/>
        </a:ln>
      </c:spPr>
    </c:title>
    <c:autoTitleDeleted val="0"/>
    <c:view3D>
      <c:rotX val="10"/>
      <c:hPercent val="63"/>
      <c:rotY val="25"/>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15857655294470868"/>
          <c:y val="0.27381058489345367"/>
          <c:w val="0.79611902090608855"/>
          <c:h val="0.57539905521087908"/>
        </c:manualLayout>
      </c:layout>
      <c:bar3DChart>
        <c:barDir val="col"/>
        <c:grouping val="clustered"/>
        <c:varyColors val="0"/>
        <c:ser>
          <c:idx val="0"/>
          <c:order val="0"/>
          <c:tx>
            <c:v>Percentagem de alunos que progrediram</c:v>
          </c:tx>
          <c:spPr>
            <a:solidFill>
              <a:srgbClr val="00FF00"/>
            </a:solidFill>
            <a:ln w="12700">
              <a:solidFill>
                <a:srgbClr val="000000"/>
              </a:solidFill>
              <a:prstDash val="solid"/>
            </a:ln>
          </c:spPr>
          <c:invertIfNegative val="0"/>
          <c:cat>
            <c:strRef>
              <c:f>'2'!$B$20:$B$25</c:f>
              <c:strCache>
                <c:ptCount val="6"/>
                <c:pt idx="0">
                  <c:v>5º</c:v>
                </c:pt>
                <c:pt idx="1">
                  <c:v>6º</c:v>
                </c:pt>
                <c:pt idx="2">
                  <c:v>7º</c:v>
                </c:pt>
                <c:pt idx="3">
                  <c:v>8º</c:v>
                </c:pt>
                <c:pt idx="4">
                  <c:v>9º</c:v>
                </c:pt>
                <c:pt idx="5">
                  <c:v>CEF’s</c:v>
                </c:pt>
              </c:strCache>
            </c:strRef>
          </c:cat>
          <c:val>
            <c:numRef>
              <c:f>'2'!$F$20:$F$25</c:f>
              <c:numCache>
                <c:formatCode>0.0%</c:formatCode>
                <c:ptCount val="6"/>
                <c:pt idx="0">
                  <c:v>0.8</c:v>
                </c:pt>
                <c:pt idx="1">
                  <c:v>0.8582677165354331</c:v>
                </c:pt>
                <c:pt idx="2">
                  <c:v>0.63580246913580252</c:v>
                </c:pt>
                <c:pt idx="3">
                  <c:v>0.875</c:v>
                </c:pt>
                <c:pt idx="4">
                  <c:v>0.82203389830508478</c:v>
                </c:pt>
                <c:pt idx="5">
                  <c:v>0.90909090909090906</c:v>
                </c:pt>
              </c:numCache>
            </c:numRef>
          </c:val>
        </c:ser>
        <c:dLbls>
          <c:showLegendKey val="0"/>
          <c:showVal val="0"/>
          <c:showCatName val="0"/>
          <c:showSerName val="0"/>
          <c:showPercent val="0"/>
          <c:showBubbleSize val="0"/>
        </c:dLbls>
        <c:gapWidth val="150"/>
        <c:shape val="box"/>
        <c:axId val="186167808"/>
        <c:axId val="113226816"/>
        <c:axId val="0"/>
      </c:bar3DChart>
      <c:catAx>
        <c:axId val="1861678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13226816"/>
        <c:crosses val="autoZero"/>
        <c:auto val="1"/>
        <c:lblAlgn val="ctr"/>
        <c:lblOffset val="100"/>
        <c:tickLblSkip val="1"/>
        <c:tickMarkSkip val="1"/>
        <c:noMultiLvlLbl val="0"/>
      </c:catAx>
      <c:valAx>
        <c:axId val="113226816"/>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86167808"/>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pt-PT" sz="1100" b="1" i="0" u="none" strike="noStrike" baseline="0">
                <a:solidFill>
                  <a:srgbClr val="000000"/>
                </a:solidFill>
                <a:latin typeface="Arial"/>
                <a:cs typeface="Arial"/>
              </a:rPr>
              <a:t>PERCENTAGEM DE ALUNOS COM PLANO DE RECUPERAÇÃO QUE </a:t>
            </a:r>
            <a:r>
              <a:rPr lang="pt-PT" sz="1100" b="1" i="0" u="sng" strike="noStrike" baseline="0">
                <a:solidFill>
                  <a:srgbClr val="000000"/>
                </a:solidFill>
                <a:latin typeface="Arial"/>
                <a:cs typeface="Arial"/>
              </a:rPr>
              <a:t>TRANSITARAM</a:t>
            </a:r>
          </a:p>
        </c:rich>
      </c:tx>
      <c:layout>
        <c:manualLayout>
          <c:xMode val="edge"/>
          <c:yMode val="edge"/>
          <c:x val="0.14417522769135219"/>
          <c:y val="7.6110527850685519E-2"/>
        </c:manualLayout>
      </c:layout>
      <c:overlay val="0"/>
      <c:spPr>
        <a:noFill/>
        <a:ln w="25400">
          <a:noFill/>
        </a:ln>
      </c:spPr>
    </c:title>
    <c:autoTitleDeleted val="0"/>
    <c:view3D>
      <c:rotX val="6"/>
      <c:hPercent val="42"/>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483754512635476E-2"/>
          <c:y val="0.24437299035369775"/>
          <c:w val="0.88989169675090263"/>
          <c:h val="0.62700964630225164"/>
        </c:manualLayout>
      </c:layout>
      <c:bar3DChart>
        <c:barDir val="col"/>
        <c:grouping val="clustered"/>
        <c:varyColors val="0"/>
        <c:ser>
          <c:idx val="0"/>
          <c:order val="0"/>
          <c:spPr>
            <a:solidFill>
              <a:srgbClr val="0000FF"/>
            </a:solidFill>
            <a:ln w="12700">
              <a:solidFill>
                <a:srgbClr val="000000"/>
              </a:solidFill>
              <a:prstDash val="solid"/>
            </a:ln>
          </c:spPr>
          <c:invertIfNegative val="0"/>
          <c:cat>
            <c:strLit>
              <c:ptCount val="5"/>
              <c:pt idx="0">
                <c:v>5º ANO</c:v>
              </c:pt>
              <c:pt idx="1">
                <c:v>6º ANO</c:v>
              </c:pt>
              <c:pt idx="2">
                <c:v>7º ANO</c:v>
              </c:pt>
              <c:pt idx="3">
                <c:v>8º ANO</c:v>
              </c:pt>
              <c:pt idx="4">
                <c:v>9º ANO</c:v>
              </c:pt>
            </c:strLit>
          </c:cat>
          <c:val>
            <c:numRef>
              <c:f>'6 - ALUNOS RET. REP.'!$P$10:$P$14</c:f>
              <c:numCache>
                <c:formatCode>0.0%</c:formatCode>
                <c:ptCount val="5"/>
                <c:pt idx="0">
                  <c:v>0.61538461538461542</c:v>
                </c:pt>
                <c:pt idx="1">
                  <c:v>0.71666666666666667</c:v>
                </c:pt>
                <c:pt idx="2">
                  <c:v>0.44329896907216493</c:v>
                </c:pt>
                <c:pt idx="3">
                  <c:v>0.7857142857142857</c:v>
                </c:pt>
                <c:pt idx="4">
                  <c:v>0.703125</c:v>
                </c:pt>
              </c:numCache>
            </c:numRef>
          </c:val>
        </c:ser>
        <c:dLbls>
          <c:showLegendKey val="0"/>
          <c:showVal val="0"/>
          <c:showCatName val="0"/>
          <c:showSerName val="0"/>
          <c:showPercent val="0"/>
          <c:showBubbleSize val="0"/>
        </c:dLbls>
        <c:gapWidth val="150"/>
        <c:shape val="box"/>
        <c:axId val="133041152"/>
        <c:axId val="197364544"/>
        <c:axId val="0"/>
      </c:bar3DChart>
      <c:catAx>
        <c:axId val="13304115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pt-PT"/>
          </a:p>
        </c:txPr>
        <c:crossAx val="197364544"/>
        <c:crosses val="autoZero"/>
        <c:auto val="1"/>
        <c:lblAlgn val="ctr"/>
        <c:lblOffset val="100"/>
        <c:tickLblSkip val="1"/>
        <c:tickMarkSkip val="1"/>
        <c:noMultiLvlLbl val="0"/>
      </c:catAx>
      <c:valAx>
        <c:axId val="197364544"/>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pt-PT"/>
          </a:p>
        </c:txPr>
        <c:crossAx val="133041152"/>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pt-PT"/>
              <a:t>PERCENTAGEM DE ENCARREGADOS DE EDUCAÇÃO </a:t>
            </a:r>
            <a:r>
              <a:rPr lang="pt-PT" u="sng"/>
              <a:t>AUSENTES</a:t>
            </a:r>
            <a:r>
              <a:rPr lang="pt-PT"/>
              <a:t>       </a:t>
            </a:r>
          </a:p>
          <a:p>
            <a:pPr>
              <a:defRPr sz="1075" b="1" i="0" u="none" strike="noStrike" baseline="0">
                <a:solidFill>
                  <a:srgbClr val="000000"/>
                </a:solidFill>
                <a:latin typeface="Arial"/>
                <a:ea typeface="Arial"/>
                <a:cs typeface="Arial"/>
              </a:defRPr>
            </a:pPr>
            <a:r>
              <a:rPr lang="pt-PT"/>
              <a:t>NO 3º PERÍODO</a:t>
            </a:r>
          </a:p>
        </c:rich>
      </c:tx>
      <c:layout>
        <c:manualLayout>
          <c:xMode val="edge"/>
          <c:yMode val="edge"/>
          <c:x val="0.19359781058295586"/>
          <c:y val="2.8368953880764904E-2"/>
        </c:manualLayout>
      </c:layout>
      <c:overlay val="0"/>
      <c:spPr>
        <a:noFill/>
        <a:ln w="25400">
          <a:noFill/>
        </a:ln>
      </c:spPr>
    </c:title>
    <c:autoTitleDeleted val="0"/>
    <c:view3D>
      <c:rotX val="5"/>
      <c:hPercent val="35"/>
      <c:rotY val="8"/>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6.4546888771062752E-2"/>
          <c:y val="0.18794380101708247"/>
          <c:w val="0.90683229813664556"/>
          <c:h val="0.67376119847490124"/>
        </c:manualLayout>
      </c:layout>
      <c:bar3DChart>
        <c:barDir val="col"/>
        <c:grouping val="clustered"/>
        <c:varyColors val="0"/>
        <c:ser>
          <c:idx val="0"/>
          <c:order val="0"/>
          <c:spPr>
            <a:solidFill>
              <a:srgbClr val="FF0000"/>
            </a:solidFill>
            <a:ln w="12700">
              <a:solidFill>
                <a:srgbClr val="000000"/>
              </a:solidFill>
              <a:prstDash val="solid"/>
            </a:ln>
          </c:spPr>
          <c:invertIfNegative val="0"/>
          <c:cat>
            <c:strLit>
              <c:ptCount val="6"/>
              <c:pt idx="0">
                <c:v>5º ANO</c:v>
              </c:pt>
              <c:pt idx="1">
                <c:v>6º ANO</c:v>
              </c:pt>
              <c:pt idx="2">
                <c:v>7º ANO</c:v>
              </c:pt>
              <c:pt idx="3">
                <c:v>8º ANO</c:v>
              </c:pt>
              <c:pt idx="4">
                <c:v>9º ANO</c:v>
              </c:pt>
              <c:pt idx="5">
                <c:v>CEF'S</c:v>
              </c:pt>
            </c:strLit>
          </c:cat>
          <c:val>
            <c:numRef>
              <c:f>'6 - ALUNOS RET. REP.'!$AD$14:$AD$19</c:f>
              <c:numCache>
                <c:formatCode>0.0%</c:formatCode>
                <c:ptCount val="6"/>
                <c:pt idx="0">
                  <c:v>0.21481481481481482</c:v>
                </c:pt>
                <c:pt idx="1">
                  <c:v>0.37007874015748032</c:v>
                </c:pt>
                <c:pt idx="2">
                  <c:v>0.26543209876543211</c:v>
                </c:pt>
                <c:pt idx="3">
                  <c:v>0.2</c:v>
                </c:pt>
                <c:pt idx="4">
                  <c:v>0.33050847457627119</c:v>
                </c:pt>
                <c:pt idx="5">
                  <c:v>0.18181818181818182</c:v>
                </c:pt>
              </c:numCache>
            </c:numRef>
          </c:val>
        </c:ser>
        <c:dLbls>
          <c:showLegendKey val="0"/>
          <c:showVal val="0"/>
          <c:showCatName val="0"/>
          <c:showSerName val="0"/>
          <c:showPercent val="0"/>
          <c:showBubbleSize val="0"/>
        </c:dLbls>
        <c:gapWidth val="150"/>
        <c:shape val="box"/>
        <c:axId val="133041664"/>
        <c:axId val="197367424"/>
        <c:axId val="0"/>
      </c:bar3DChart>
      <c:catAx>
        <c:axId val="133041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pt-PT"/>
          </a:p>
        </c:txPr>
        <c:crossAx val="197367424"/>
        <c:crosses val="autoZero"/>
        <c:auto val="1"/>
        <c:lblAlgn val="ctr"/>
        <c:lblOffset val="100"/>
        <c:tickLblSkip val="1"/>
        <c:tickMarkSkip val="1"/>
        <c:noMultiLvlLbl val="0"/>
      </c:catAx>
      <c:valAx>
        <c:axId val="197367424"/>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pt-PT"/>
          </a:p>
        </c:txPr>
        <c:crossAx val="133041664"/>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pt-PT"/>
              <a:t>NÚMERO DE ENCARREGADOS DE EDUCAÇÃO </a:t>
            </a:r>
            <a:r>
              <a:rPr lang="pt-PT" u="sng"/>
              <a:t>PRESENTES</a:t>
            </a:r>
            <a:r>
              <a:rPr lang="pt-PT"/>
              <a:t> 
AO LONGO DO ANO LECTIVO</a:t>
            </a:r>
          </a:p>
        </c:rich>
      </c:tx>
      <c:layout>
        <c:manualLayout>
          <c:xMode val="edge"/>
          <c:yMode val="edge"/>
          <c:x val="0.21450649687307743"/>
          <c:y val="3.8194444444444448E-2"/>
        </c:manualLayout>
      </c:layout>
      <c:overlay val="0"/>
      <c:spPr>
        <a:noFill/>
        <a:ln w="25400">
          <a:noFill/>
        </a:ln>
      </c:spPr>
    </c:title>
    <c:autoTitleDeleted val="0"/>
    <c:plotArea>
      <c:layout>
        <c:manualLayout>
          <c:layoutTarget val="inner"/>
          <c:xMode val="edge"/>
          <c:yMode val="edge"/>
          <c:x val="7.4074185706901219E-2"/>
          <c:y val="0.27083425168949282"/>
          <c:w val="0.74845791808014761"/>
          <c:h val="0.57639084333918433"/>
        </c:manualLayout>
      </c:layout>
      <c:barChart>
        <c:barDir val="col"/>
        <c:grouping val="clustered"/>
        <c:varyColors val="0"/>
        <c:ser>
          <c:idx val="0"/>
          <c:order val="0"/>
          <c:tx>
            <c:strRef>
              <c:f>'6 - ALUNOS RET. REP.'!$X$13</c:f>
              <c:strCache>
                <c:ptCount val="1"/>
                <c:pt idx="0">
                  <c:v>1º PERÍODO</c:v>
                </c:pt>
              </c:strCache>
            </c:strRef>
          </c:tx>
          <c:spPr>
            <a:solidFill>
              <a:srgbClr val="FF9900"/>
            </a:solidFill>
            <a:ln w="12700">
              <a:solidFill>
                <a:srgbClr val="000000"/>
              </a:solidFill>
              <a:prstDash val="solid"/>
            </a:ln>
          </c:spPr>
          <c:invertIfNegative val="0"/>
          <c:cat>
            <c:strLit>
              <c:ptCount val="6"/>
              <c:pt idx="0">
                <c:v>5º ANO</c:v>
              </c:pt>
              <c:pt idx="1">
                <c:v>6º ANO</c:v>
              </c:pt>
              <c:pt idx="2">
                <c:v>7º ANO</c:v>
              </c:pt>
              <c:pt idx="3">
                <c:v>8º ANO</c:v>
              </c:pt>
              <c:pt idx="4">
                <c:v>9º ANO</c:v>
              </c:pt>
              <c:pt idx="5">
                <c:v>CEF'S</c:v>
              </c:pt>
            </c:strLit>
          </c:cat>
          <c:val>
            <c:numRef>
              <c:f>'6 - ALUNOS RET. REP.'!$X$14:$X$19</c:f>
              <c:numCache>
                <c:formatCode>General</c:formatCode>
                <c:ptCount val="6"/>
                <c:pt idx="0">
                  <c:v>84</c:v>
                </c:pt>
                <c:pt idx="1">
                  <c:v>71</c:v>
                </c:pt>
                <c:pt idx="2">
                  <c:v>92</c:v>
                </c:pt>
                <c:pt idx="3">
                  <c:v>70</c:v>
                </c:pt>
                <c:pt idx="4">
                  <c:v>41</c:v>
                </c:pt>
                <c:pt idx="5">
                  <c:v>17</c:v>
                </c:pt>
              </c:numCache>
            </c:numRef>
          </c:val>
        </c:ser>
        <c:ser>
          <c:idx val="1"/>
          <c:order val="1"/>
          <c:tx>
            <c:strRef>
              <c:f>'6 - ALUNOS RET. REP.'!$Y$13</c:f>
              <c:strCache>
                <c:ptCount val="1"/>
                <c:pt idx="0">
                  <c:v>2º PERÍODO</c:v>
                </c:pt>
              </c:strCache>
            </c:strRef>
          </c:tx>
          <c:spPr>
            <a:solidFill>
              <a:srgbClr val="99CC00"/>
            </a:solidFill>
            <a:ln w="12700">
              <a:solidFill>
                <a:srgbClr val="000000"/>
              </a:solidFill>
              <a:prstDash val="solid"/>
            </a:ln>
          </c:spPr>
          <c:invertIfNegative val="0"/>
          <c:cat>
            <c:strLit>
              <c:ptCount val="6"/>
              <c:pt idx="0">
                <c:v>5º ANO</c:v>
              </c:pt>
              <c:pt idx="1">
                <c:v>6º ANO</c:v>
              </c:pt>
              <c:pt idx="2">
                <c:v>7º ANO</c:v>
              </c:pt>
              <c:pt idx="3">
                <c:v>8º ANO</c:v>
              </c:pt>
              <c:pt idx="4">
                <c:v>9º ANO</c:v>
              </c:pt>
              <c:pt idx="5">
                <c:v>CEF'S</c:v>
              </c:pt>
            </c:strLit>
          </c:cat>
          <c:val>
            <c:numRef>
              <c:f>'6 - ALUNOS RET. REP.'!$Y$14:$Y$19</c:f>
              <c:numCache>
                <c:formatCode>General</c:formatCode>
                <c:ptCount val="6"/>
                <c:pt idx="0">
                  <c:v>88</c:v>
                </c:pt>
                <c:pt idx="1">
                  <c:v>83</c:v>
                </c:pt>
                <c:pt idx="2">
                  <c:v>98</c:v>
                </c:pt>
                <c:pt idx="3">
                  <c:v>90</c:v>
                </c:pt>
                <c:pt idx="4">
                  <c:v>83</c:v>
                </c:pt>
                <c:pt idx="5">
                  <c:v>19</c:v>
                </c:pt>
              </c:numCache>
            </c:numRef>
          </c:val>
        </c:ser>
        <c:ser>
          <c:idx val="2"/>
          <c:order val="2"/>
          <c:tx>
            <c:strRef>
              <c:f>'6 - ALUNOS RET. REP.'!$Z$13</c:f>
              <c:strCache>
                <c:ptCount val="1"/>
                <c:pt idx="0">
                  <c:v>3º PERÍODO</c:v>
                </c:pt>
              </c:strCache>
            </c:strRef>
          </c:tx>
          <c:spPr>
            <a:solidFill>
              <a:srgbClr val="33CCCC"/>
            </a:solidFill>
            <a:ln w="12700">
              <a:solidFill>
                <a:srgbClr val="000000"/>
              </a:solidFill>
              <a:prstDash val="solid"/>
            </a:ln>
          </c:spPr>
          <c:invertIfNegative val="0"/>
          <c:cat>
            <c:strLit>
              <c:ptCount val="6"/>
              <c:pt idx="0">
                <c:v>5º ANO</c:v>
              </c:pt>
              <c:pt idx="1">
                <c:v>6º ANO</c:v>
              </c:pt>
              <c:pt idx="2">
                <c:v>7º ANO</c:v>
              </c:pt>
              <c:pt idx="3">
                <c:v>8º ANO</c:v>
              </c:pt>
              <c:pt idx="4">
                <c:v>9º ANO</c:v>
              </c:pt>
              <c:pt idx="5">
                <c:v>CEF'S</c:v>
              </c:pt>
            </c:strLit>
          </c:cat>
          <c:val>
            <c:numRef>
              <c:f>'6 - ALUNOS RET. REP.'!$Z$14:$Z$19</c:f>
              <c:numCache>
                <c:formatCode>General</c:formatCode>
                <c:ptCount val="6"/>
                <c:pt idx="0">
                  <c:v>102</c:v>
                </c:pt>
                <c:pt idx="1">
                  <c:v>80</c:v>
                </c:pt>
                <c:pt idx="2">
                  <c:v>120</c:v>
                </c:pt>
                <c:pt idx="3">
                  <c:v>95</c:v>
                </c:pt>
                <c:pt idx="4">
                  <c:v>79</c:v>
                </c:pt>
                <c:pt idx="5">
                  <c:v>9</c:v>
                </c:pt>
              </c:numCache>
            </c:numRef>
          </c:val>
        </c:ser>
        <c:dLbls>
          <c:showLegendKey val="0"/>
          <c:showVal val="0"/>
          <c:showCatName val="0"/>
          <c:showSerName val="0"/>
          <c:showPercent val="0"/>
          <c:showBubbleSize val="0"/>
        </c:dLbls>
        <c:gapWidth val="150"/>
        <c:axId val="137572864"/>
        <c:axId val="197368576"/>
      </c:barChart>
      <c:catAx>
        <c:axId val="137572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pt-PT"/>
          </a:p>
        </c:txPr>
        <c:crossAx val="197368576"/>
        <c:crosses val="autoZero"/>
        <c:auto val="1"/>
        <c:lblAlgn val="ctr"/>
        <c:lblOffset val="100"/>
        <c:tickLblSkip val="1"/>
        <c:tickMarkSkip val="1"/>
        <c:noMultiLvlLbl val="0"/>
      </c:catAx>
      <c:valAx>
        <c:axId val="1973685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pt-PT"/>
          </a:p>
        </c:txPr>
        <c:crossAx val="137572864"/>
        <c:crosses val="autoZero"/>
        <c:crossBetween val="between"/>
      </c:valAx>
      <c:spPr>
        <a:noFill/>
        <a:ln w="12700">
          <a:solidFill>
            <a:srgbClr val="808080"/>
          </a:solidFill>
          <a:prstDash val="solid"/>
        </a:ln>
      </c:spPr>
    </c:plotArea>
    <c:legend>
      <c:legendPos val="r"/>
      <c:layout>
        <c:manualLayout>
          <c:xMode val="edge"/>
          <c:yMode val="edge"/>
          <c:x val="0.84105065021378156"/>
          <c:y val="0.20833403976114917"/>
          <c:w val="0.1466051592115753"/>
          <c:h val="0.4756960574546219"/>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pt-PT"/>
              <a:t>Percentagem de alunos com dias de suspensão</a:t>
            </a:r>
          </a:p>
        </c:rich>
      </c:tx>
      <c:layout>
        <c:manualLayout>
          <c:xMode val="edge"/>
          <c:yMode val="edge"/>
          <c:x val="0.16606498194945848"/>
          <c:y val="3.4700315457413616E-2"/>
        </c:manualLayout>
      </c:layout>
      <c:overlay val="0"/>
      <c:spPr>
        <a:noFill/>
        <a:ln w="25400">
          <a:noFill/>
        </a:ln>
      </c:spPr>
    </c:title>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483754512635476E-2"/>
          <c:y val="0.17350157728706625"/>
          <c:w val="0.88989169675090263"/>
          <c:h val="0.70031545741324963"/>
        </c:manualLayout>
      </c:layout>
      <c:bar3DChart>
        <c:barDir val="col"/>
        <c:grouping val="clustered"/>
        <c:varyColors val="0"/>
        <c:ser>
          <c:idx val="0"/>
          <c:order val="0"/>
          <c:spPr>
            <a:solidFill>
              <a:srgbClr val="9999FF"/>
            </a:solidFill>
            <a:ln w="12700">
              <a:solidFill>
                <a:srgbClr val="000000"/>
              </a:solidFill>
              <a:prstDash val="solid"/>
            </a:ln>
          </c:spPr>
          <c:invertIfNegative val="0"/>
          <c:cat>
            <c:strRef>
              <c:f>'9 - DISCIPLINA E COMPORTAMENTOS'!$M$11:$M$17</c:f>
              <c:strCache>
                <c:ptCount val="7"/>
                <c:pt idx="0">
                  <c:v>5º</c:v>
                </c:pt>
                <c:pt idx="1">
                  <c:v>6º</c:v>
                </c:pt>
                <c:pt idx="2">
                  <c:v>7º</c:v>
                </c:pt>
                <c:pt idx="3">
                  <c:v>8º</c:v>
                </c:pt>
                <c:pt idx="4">
                  <c:v>9º</c:v>
                </c:pt>
                <c:pt idx="5">
                  <c:v>CEF´S</c:v>
                </c:pt>
                <c:pt idx="6">
                  <c:v>TOTAL</c:v>
                </c:pt>
              </c:strCache>
            </c:strRef>
          </c:cat>
          <c:val>
            <c:numRef>
              <c:f>'9 - DISCIPLINA E COMPORTAMENTOS'!$P$11:$P$17</c:f>
              <c:numCache>
                <c:formatCode>0.0%</c:formatCode>
                <c:ptCount val="7"/>
                <c:pt idx="0">
                  <c:v>0.1111111111111111</c:v>
                </c:pt>
                <c:pt idx="1">
                  <c:v>6.2992125984251968E-2</c:v>
                </c:pt>
                <c:pt idx="2">
                  <c:v>9.2592592592592587E-2</c:v>
                </c:pt>
                <c:pt idx="3">
                  <c:v>0.05</c:v>
                </c:pt>
                <c:pt idx="4">
                  <c:v>3.3898305084745763E-2</c:v>
                </c:pt>
                <c:pt idx="5">
                  <c:v>0.18181818181818182</c:v>
                </c:pt>
                <c:pt idx="6">
                  <c:v>8.1570996978851965E-2</c:v>
                </c:pt>
              </c:numCache>
            </c:numRef>
          </c:val>
        </c:ser>
        <c:dLbls>
          <c:showLegendKey val="0"/>
          <c:showVal val="0"/>
          <c:showCatName val="0"/>
          <c:showSerName val="0"/>
          <c:showPercent val="0"/>
          <c:showBubbleSize val="0"/>
        </c:dLbls>
        <c:gapWidth val="150"/>
        <c:shape val="box"/>
        <c:axId val="138717184"/>
        <c:axId val="161474240"/>
        <c:axId val="0"/>
      </c:bar3DChart>
      <c:catAx>
        <c:axId val="13871718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61474240"/>
        <c:crosses val="autoZero"/>
        <c:auto val="1"/>
        <c:lblAlgn val="ctr"/>
        <c:lblOffset val="100"/>
        <c:tickLblSkip val="1"/>
        <c:tickMarkSkip val="1"/>
        <c:noMultiLvlLbl val="0"/>
      </c:catAx>
      <c:valAx>
        <c:axId val="161474240"/>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38717184"/>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28"/>
    </mc:Choice>
    <mc:Fallback>
      <c:style val="28"/>
    </mc:Fallback>
  </mc:AlternateContent>
  <c:chart>
    <c:title>
      <c:tx>
        <c:rich>
          <a:bodyPr/>
          <a:lstStyle/>
          <a:p>
            <a:pPr>
              <a:defRPr/>
            </a:pPr>
            <a:r>
              <a:rPr lang="en-US"/>
              <a:t>Nº de dias de suspensão por ano</a:t>
            </a:r>
          </a:p>
        </c:rich>
      </c:tx>
      <c:overlay val="0"/>
    </c:title>
    <c:autoTitleDeleted val="0"/>
    <c:plotArea>
      <c:layout>
        <c:manualLayout>
          <c:layoutTarget val="inner"/>
          <c:xMode val="edge"/>
          <c:yMode val="edge"/>
          <c:x val="5.8054514847332372E-2"/>
          <c:y val="0.20702366078778897"/>
          <c:w val="0.67372543371812232"/>
          <c:h val="0.67218060842025751"/>
        </c:manualLayout>
      </c:layout>
      <c:barChart>
        <c:barDir val="col"/>
        <c:grouping val="clustered"/>
        <c:varyColors val="0"/>
        <c:ser>
          <c:idx val="0"/>
          <c:order val="0"/>
          <c:tx>
            <c:strRef>
              <c:f>'9 - DISCIPLINA E COMPORTAMENTOS'!$D$10</c:f>
              <c:strCache>
                <c:ptCount val="1"/>
                <c:pt idx="0">
                  <c:v>Nº de dias de suspensão</c:v>
                </c:pt>
              </c:strCache>
            </c:strRef>
          </c:tx>
          <c:invertIfNegative val="0"/>
          <c:cat>
            <c:strRef>
              <c:f>'9 - DISCIPLINA E COMPORTAMENTOS'!$B$11:$B$17</c:f>
              <c:strCache>
                <c:ptCount val="7"/>
                <c:pt idx="0">
                  <c:v>5º</c:v>
                </c:pt>
                <c:pt idx="1">
                  <c:v>6º</c:v>
                </c:pt>
                <c:pt idx="2">
                  <c:v>7º</c:v>
                </c:pt>
                <c:pt idx="3">
                  <c:v>8º</c:v>
                </c:pt>
                <c:pt idx="4">
                  <c:v>9º</c:v>
                </c:pt>
                <c:pt idx="5">
                  <c:v>CEF´S</c:v>
                </c:pt>
                <c:pt idx="6">
                  <c:v>TOTAL</c:v>
                </c:pt>
              </c:strCache>
            </c:strRef>
          </c:cat>
          <c:val>
            <c:numRef>
              <c:f>'9 - DISCIPLINA E COMPORTAMENTOS'!$D$11:$D$17</c:f>
              <c:numCache>
                <c:formatCode>General</c:formatCode>
                <c:ptCount val="7"/>
                <c:pt idx="0">
                  <c:v>48</c:v>
                </c:pt>
                <c:pt idx="1">
                  <c:v>16</c:v>
                </c:pt>
                <c:pt idx="2">
                  <c:v>24</c:v>
                </c:pt>
                <c:pt idx="3">
                  <c:v>11</c:v>
                </c:pt>
                <c:pt idx="4">
                  <c:v>4</c:v>
                </c:pt>
                <c:pt idx="5">
                  <c:v>10</c:v>
                </c:pt>
                <c:pt idx="6">
                  <c:v>113</c:v>
                </c:pt>
              </c:numCache>
            </c:numRef>
          </c:val>
        </c:ser>
        <c:dLbls>
          <c:showLegendKey val="0"/>
          <c:showVal val="0"/>
          <c:showCatName val="0"/>
          <c:showSerName val="0"/>
          <c:showPercent val="0"/>
          <c:showBubbleSize val="0"/>
        </c:dLbls>
        <c:gapWidth val="150"/>
        <c:axId val="138718720"/>
        <c:axId val="161475968"/>
      </c:barChart>
      <c:catAx>
        <c:axId val="138718720"/>
        <c:scaling>
          <c:orientation val="minMax"/>
        </c:scaling>
        <c:delete val="0"/>
        <c:axPos val="b"/>
        <c:majorTickMark val="none"/>
        <c:minorTickMark val="none"/>
        <c:tickLblPos val="nextTo"/>
        <c:crossAx val="161475968"/>
        <c:crosses val="autoZero"/>
        <c:auto val="1"/>
        <c:lblAlgn val="ctr"/>
        <c:lblOffset val="100"/>
        <c:noMultiLvlLbl val="0"/>
      </c:catAx>
      <c:valAx>
        <c:axId val="161475968"/>
        <c:scaling>
          <c:orientation val="minMax"/>
          <c:max val="180"/>
          <c:min val="0"/>
        </c:scaling>
        <c:delete val="0"/>
        <c:axPos val="l"/>
        <c:majorGridlines/>
        <c:numFmt formatCode="General" sourceLinked="1"/>
        <c:majorTickMark val="none"/>
        <c:minorTickMark val="none"/>
        <c:tickLblPos val="nextTo"/>
        <c:crossAx val="138718720"/>
        <c:crosses val="autoZero"/>
        <c:crossBetween val="between"/>
      </c:valAx>
    </c:plotArea>
    <c:legend>
      <c:legendPos val="r"/>
      <c:overlay val="0"/>
    </c:legend>
    <c:plotVisOnly val="1"/>
    <c:dispBlanksAs val="gap"/>
    <c:showDLblsOverMax val="0"/>
  </c:chart>
  <c:spPr>
    <a:ln>
      <a:noFill/>
    </a:ln>
  </c:spPr>
  <c:printSettings>
    <c:headerFooter/>
    <c:pageMargins b="0.75000000000000222" l="0.70000000000000062" r="0.70000000000000062" t="0.75000000000000222" header="0.30000000000000032" footer="0.30000000000000032"/>
    <c:pageSetup orientation="portrait"/>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pt-PT"/>
              <a:t>ALUNOS INSCRITOS/AVALIADOS NOS 
CEF'S</a:t>
            </a:r>
          </a:p>
        </c:rich>
      </c:tx>
      <c:layout>
        <c:manualLayout>
          <c:xMode val="edge"/>
          <c:yMode val="edge"/>
          <c:x val="0.26666699220737106"/>
          <c:y val="3.3240997229917052E-2"/>
        </c:manualLayout>
      </c:layout>
      <c:overlay val="0"/>
      <c:spPr>
        <a:noFill/>
        <a:ln w="25400">
          <a:noFill/>
        </a:ln>
      </c:spPr>
    </c:title>
    <c:autoTitleDeleted val="0"/>
    <c:view3D>
      <c:rotX val="15"/>
      <c:rotY val="20"/>
      <c:depthPercent val="100"/>
      <c:rAngAx val="1"/>
    </c:view3D>
    <c:floor>
      <c:thickness val="0"/>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6.9767547492047874E-2"/>
          <c:y val="0.2493078164330533"/>
          <c:w val="0.82945862018323069"/>
          <c:h val="0.47368485122280507"/>
        </c:manualLayout>
      </c:layout>
      <c:bar3DChart>
        <c:barDir val="col"/>
        <c:grouping val="clustered"/>
        <c:varyColors val="0"/>
        <c:ser>
          <c:idx val="0"/>
          <c:order val="0"/>
          <c:tx>
            <c:v>Nº de alunos inscritos no ínicio do ano lectivo</c:v>
          </c:tx>
          <c:spPr>
            <a:solidFill>
              <a:srgbClr val="FF9900"/>
            </a:solidFill>
            <a:ln w="12700">
              <a:solidFill>
                <a:srgbClr val="000000"/>
              </a:solidFill>
              <a:prstDash val="solid"/>
            </a:ln>
          </c:spPr>
          <c:invertIfNegative val="0"/>
          <c:cat>
            <c:strLit>
              <c:ptCount val="3"/>
              <c:pt idx="0">
                <c:v>CEF1 Cab.</c:v>
              </c:pt>
              <c:pt idx="1">
                <c:v>CEF2 O.I.</c:v>
              </c:pt>
              <c:pt idx="2">
                <c:v>CEF2 Cab.</c:v>
              </c:pt>
            </c:strLit>
          </c:cat>
          <c:val>
            <c:numRef>
              <c:f>'10 - CEF'!$D$12:$D$14</c:f>
              <c:numCache>
                <c:formatCode>General</c:formatCode>
                <c:ptCount val="3"/>
                <c:pt idx="0">
                  <c:v>18</c:v>
                </c:pt>
                <c:pt idx="1">
                  <c:v>11</c:v>
                </c:pt>
                <c:pt idx="2">
                  <c:v>9</c:v>
                </c:pt>
              </c:numCache>
            </c:numRef>
          </c:val>
        </c:ser>
        <c:ser>
          <c:idx val="1"/>
          <c:order val="1"/>
          <c:tx>
            <c:v>Nº de alunos avaliados no final do ano lectivo</c:v>
          </c:tx>
          <c:spPr>
            <a:solidFill>
              <a:srgbClr val="00FF00"/>
            </a:solidFill>
            <a:ln w="12700">
              <a:solidFill>
                <a:srgbClr val="000000"/>
              </a:solidFill>
              <a:prstDash val="solid"/>
            </a:ln>
          </c:spPr>
          <c:invertIfNegative val="0"/>
          <c:cat>
            <c:strLit>
              <c:ptCount val="3"/>
              <c:pt idx="0">
                <c:v>CEF1 Cab.</c:v>
              </c:pt>
              <c:pt idx="1">
                <c:v>CEF2 O.I.</c:v>
              </c:pt>
              <c:pt idx="2">
                <c:v>CEF2 Cab.</c:v>
              </c:pt>
            </c:strLit>
          </c:cat>
          <c:val>
            <c:numRef>
              <c:f>'10 - CEF'!$H$12:$H$14</c:f>
              <c:numCache>
                <c:formatCode>General</c:formatCode>
                <c:ptCount val="3"/>
                <c:pt idx="0">
                  <c:v>15</c:v>
                </c:pt>
                <c:pt idx="1">
                  <c:v>9</c:v>
                </c:pt>
                <c:pt idx="2">
                  <c:v>9</c:v>
                </c:pt>
              </c:numCache>
            </c:numRef>
          </c:val>
        </c:ser>
        <c:dLbls>
          <c:showLegendKey val="0"/>
          <c:showVal val="0"/>
          <c:showCatName val="0"/>
          <c:showSerName val="0"/>
          <c:showPercent val="0"/>
          <c:showBubbleSize val="0"/>
        </c:dLbls>
        <c:gapWidth val="150"/>
        <c:shape val="box"/>
        <c:axId val="162074624"/>
        <c:axId val="161478272"/>
        <c:axId val="0"/>
      </c:bar3DChart>
      <c:catAx>
        <c:axId val="162074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pt-PT"/>
          </a:p>
        </c:txPr>
        <c:crossAx val="161478272"/>
        <c:crosses val="autoZero"/>
        <c:auto val="1"/>
        <c:lblAlgn val="ctr"/>
        <c:lblOffset val="100"/>
        <c:tickLblSkip val="1"/>
        <c:tickMarkSkip val="1"/>
        <c:noMultiLvlLbl val="0"/>
      </c:catAx>
      <c:valAx>
        <c:axId val="1614782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pt-PT"/>
          </a:p>
        </c:txPr>
        <c:crossAx val="162074624"/>
        <c:crosses val="autoZero"/>
        <c:crossBetween val="between"/>
      </c:valAx>
    </c:plotArea>
    <c:legend>
      <c:legendPos val="r"/>
      <c:layout>
        <c:manualLayout>
          <c:xMode val="edge"/>
          <c:yMode val="edge"/>
          <c:x val="8.0620277101921517E-2"/>
          <c:y val="0.80886535998279518"/>
          <c:w val="0.6555193391523737"/>
          <c:h val="0.19113457078253027"/>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pt-PT"/>
              <a:t>TAXA DE ABANDONO ESCOLAR POR ANO</a:t>
            </a:r>
          </a:p>
        </c:rich>
      </c:tx>
      <c:layout>
        <c:manualLayout>
          <c:xMode val="edge"/>
          <c:yMode val="edge"/>
          <c:x val="0.21495346726518996"/>
          <c:y val="3.4700315457413616E-2"/>
        </c:manualLayout>
      </c:layout>
      <c:overlay val="0"/>
      <c:spPr>
        <a:noFill/>
        <a:ln w="25400">
          <a:noFill/>
        </a:ln>
      </c:spPr>
    </c:title>
    <c:autoTitleDeleted val="0"/>
    <c:view3D>
      <c:rotX val="4"/>
      <c:hPercent val="49"/>
      <c:rotY val="15"/>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7.4766423377650423E-2"/>
          <c:y val="0.18927444794952691"/>
          <c:w val="0.89906624111623334"/>
          <c:h val="0.6845425867507885"/>
        </c:manualLayout>
      </c:layout>
      <c:bar3DChart>
        <c:barDir val="col"/>
        <c:grouping val="clustered"/>
        <c:varyColors val="0"/>
        <c:ser>
          <c:idx val="0"/>
          <c:order val="0"/>
          <c:spPr>
            <a:solidFill>
              <a:srgbClr val="FF6600"/>
            </a:solidFill>
            <a:ln w="12700">
              <a:solidFill>
                <a:srgbClr val="000000"/>
              </a:solidFill>
              <a:prstDash val="solid"/>
            </a:ln>
          </c:spPr>
          <c:invertIfNegative val="0"/>
          <c:dLbls>
            <c:dLbl>
              <c:idx val="0"/>
              <c:layout>
                <c:manualLayout>
                  <c:x val="1.457519323305956E-2"/>
                  <c:y val="-2.0652078425108852E-2"/>
                </c:manualLayout>
              </c:layout>
              <c:showLegendKey val="0"/>
              <c:showVal val="1"/>
              <c:showCatName val="0"/>
              <c:showSerName val="0"/>
              <c:showPercent val="0"/>
              <c:showBubbleSize val="0"/>
            </c:dLbl>
            <c:dLbl>
              <c:idx val="1"/>
              <c:layout>
                <c:manualLayout>
                  <c:x val="1.7512045548360361E-2"/>
                  <c:y val="-1.2992565123944779E-2"/>
                </c:manualLayout>
              </c:layout>
              <c:showLegendKey val="0"/>
              <c:showVal val="1"/>
              <c:showCatName val="0"/>
              <c:showSerName val="0"/>
              <c:showPercent val="0"/>
              <c:showBubbleSize val="0"/>
            </c:dLbl>
            <c:dLbl>
              <c:idx val="2"/>
              <c:layout>
                <c:manualLayout>
                  <c:x val="1.6710379721276543E-2"/>
                  <c:y val="-2.2392603881428906E-2"/>
                </c:manualLayout>
              </c:layout>
              <c:showLegendKey val="0"/>
              <c:showVal val="1"/>
              <c:showCatName val="0"/>
              <c:showSerName val="0"/>
              <c:showPercent val="0"/>
              <c:showBubbleSize val="0"/>
            </c:dLbl>
            <c:dLbl>
              <c:idx val="3"/>
              <c:layout>
                <c:manualLayout>
                  <c:x val="1.9647232036577283E-2"/>
                  <c:y val="-1.9238029748936951E-2"/>
                </c:manualLayout>
              </c:layout>
              <c:showLegendKey val="0"/>
              <c:showVal val="1"/>
              <c:showCatName val="0"/>
              <c:showSerName val="0"/>
              <c:showPercent val="0"/>
              <c:showBubbleSize val="0"/>
            </c:dLbl>
            <c:dLbl>
              <c:idx val="4"/>
              <c:layout>
                <c:manualLayout>
                  <c:x val="1.3238281429671718E-2"/>
                  <c:y val="-2.0416224775800254E-2"/>
                </c:manualLayout>
              </c:layout>
              <c:showLegendKey val="0"/>
              <c:showVal val="1"/>
              <c:showCatName val="0"/>
              <c:showSerName val="0"/>
              <c:showPercent val="0"/>
              <c:showBubbleSize val="0"/>
            </c:dLbl>
            <c:dLbl>
              <c:idx val="5"/>
              <c:layout>
                <c:manualLayout>
                  <c:x val="1.8044294329413835E-2"/>
                  <c:y val="-2.345527687128791E-2"/>
                </c:manualLayout>
              </c:layout>
              <c:showLegendKey val="0"/>
              <c:showVal val="1"/>
              <c:showCatName val="0"/>
              <c:showSerName val="0"/>
              <c:showPercent val="0"/>
              <c:showBubbleSize val="0"/>
            </c:dLbl>
            <c:dLbl>
              <c:idx val="6"/>
              <c:layout>
                <c:manualLayout>
                  <c:xMode val="edge"/>
                  <c:yMode val="edge"/>
                  <c:x val="0.83738394182967757"/>
                  <c:y val="0.63091482649843011"/>
                </c:manualLayout>
              </c:layout>
              <c:showLegendKey val="0"/>
              <c:showVal val="1"/>
              <c:showCatName val="0"/>
              <c:showSerName val="0"/>
              <c:showPercent val="0"/>
              <c:showBubbleSize val="0"/>
            </c:dLbl>
            <c:spPr>
              <a:noFill/>
              <a:ln w="25400">
                <a:noFill/>
              </a:ln>
            </c:spPr>
            <c:txPr>
              <a:bodyPr/>
              <a:lstStyle/>
              <a:p>
                <a:pPr>
                  <a:defRPr sz="975" b="0" i="0" u="none" strike="noStrike" baseline="0">
                    <a:solidFill>
                      <a:srgbClr val="000000"/>
                    </a:solidFill>
                    <a:latin typeface="Arial"/>
                    <a:ea typeface="Arial"/>
                    <a:cs typeface="Arial"/>
                  </a:defRPr>
                </a:pPr>
                <a:endParaRPr lang="pt-PT"/>
              </a:p>
            </c:txPr>
            <c:showLegendKey val="0"/>
            <c:showVal val="1"/>
            <c:showCatName val="0"/>
            <c:showSerName val="0"/>
            <c:showPercent val="0"/>
            <c:showBubbleSize val="0"/>
            <c:showLeaderLines val="0"/>
          </c:dLbls>
          <c:cat>
            <c:strRef>
              <c:f>'11 - ABANDONO ESCOLAR'!$C$12:$C$17</c:f>
              <c:strCache>
                <c:ptCount val="6"/>
                <c:pt idx="0">
                  <c:v>5º</c:v>
                </c:pt>
                <c:pt idx="1">
                  <c:v>6º</c:v>
                </c:pt>
                <c:pt idx="2">
                  <c:v>7º</c:v>
                </c:pt>
                <c:pt idx="3">
                  <c:v>8º</c:v>
                </c:pt>
                <c:pt idx="4">
                  <c:v>9º</c:v>
                </c:pt>
                <c:pt idx="5">
                  <c:v>TOTAL</c:v>
                </c:pt>
              </c:strCache>
            </c:strRef>
          </c:cat>
          <c:val>
            <c:numRef>
              <c:f>'11 - ABANDONO ESCOLAR'!$F$12:$F$17</c:f>
              <c:numCache>
                <c:formatCode>0.00%</c:formatCode>
                <c:ptCount val="6"/>
                <c:pt idx="0">
                  <c:v>2.9629629629629631E-2</c:v>
                </c:pt>
                <c:pt idx="1">
                  <c:v>4.7244094488188976E-2</c:v>
                </c:pt>
                <c:pt idx="2">
                  <c:v>6.1728395061728392E-3</c:v>
                </c:pt>
                <c:pt idx="3">
                  <c:v>0</c:v>
                </c:pt>
                <c:pt idx="4">
                  <c:v>0</c:v>
                </c:pt>
                <c:pt idx="5">
                  <c:v>1.6616314199395771E-2</c:v>
                </c:pt>
              </c:numCache>
            </c:numRef>
          </c:val>
        </c:ser>
        <c:dLbls>
          <c:showLegendKey val="0"/>
          <c:showVal val="0"/>
          <c:showCatName val="0"/>
          <c:showSerName val="0"/>
          <c:showPercent val="0"/>
          <c:showBubbleSize val="0"/>
        </c:dLbls>
        <c:gapWidth val="150"/>
        <c:shape val="box"/>
        <c:axId val="163799040"/>
        <c:axId val="161480000"/>
        <c:axId val="0"/>
      </c:bar3DChart>
      <c:catAx>
        <c:axId val="1637990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pt-PT"/>
          </a:p>
        </c:txPr>
        <c:crossAx val="161480000"/>
        <c:crosses val="autoZero"/>
        <c:auto val="1"/>
        <c:lblAlgn val="ctr"/>
        <c:lblOffset val="100"/>
        <c:tickLblSkip val="1"/>
        <c:tickMarkSkip val="1"/>
        <c:noMultiLvlLbl val="0"/>
      </c:catAx>
      <c:valAx>
        <c:axId val="161480000"/>
        <c:scaling>
          <c:orientation val="minMax"/>
          <c:max val="0.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pt-PT"/>
          </a:p>
        </c:txPr>
        <c:crossAx val="163799040"/>
        <c:crosses val="autoZero"/>
        <c:crossBetween val="between"/>
        <c:majorUnit val="1.0000000000000005E-2"/>
        <c:minorUnit val="1.0000000000000041E-3"/>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pt-PT"/>
              <a:t>ALUNOS COM APOIO EDUCATIVO</a:t>
            </a:r>
          </a:p>
        </c:rich>
      </c:tx>
      <c:layout>
        <c:manualLayout>
          <c:xMode val="edge"/>
          <c:yMode val="edge"/>
          <c:x val="0.20259740259740505"/>
          <c:y val="4.4164037854890176E-2"/>
        </c:manualLayout>
      </c:layout>
      <c:overlay val="0"/>
      <c:spPr>
        <a:noFill/>
        <a:ln w="25400">
          <a:noFill/>
        </a:ln>
      </c:spPr>
    </c:title>
    <c:autoTitleDeleted val="0"/>
    <c:view3D>
      <c:rotX val="15"/>
      <c:rotY val="20"/>
      <c:depthPercent val="100"/>
      <c:rAngAx val="1"/>
    </c:view3D>
    <c:floor>
      <c:thickness val="0"/>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6.2337662337662504E-2"/>
          <c:y val="0.20504731861198741"/>
          <c:w val="0.63376623376623376"/>
          <c:h val="0.65299684542587222"/>
        </c:manualLayout>
      </c:layout>
      <c:bar3DChart>
        <c:barDir val="col"/>
        <c:grouping val="clustered"/>
        <c:varyColors val="0"/>
        <c:ser>
          <c:idx val="0"/>
          <c:order val="0"/>
          <c:tx>
            <c:strRef>
              <c:f>'12 - APOIO EDUCATIVO'!$B$20:$B$23</c:f>
              <c:strCache>
                <c:ptCount val="1"/>
                <c:pt idx="0">
                  <c:v>TOTAL DE ALUNOS</c:v>
                </c:pt>
              </c:strCache>
            </c:strRef>
          </c:tx>
          <c:spPr>
            <a:solidFill>
              <a:srgbClr val="00CCFF"/>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EDUCATIVO'!$B$24,'12 - APOIO EDUCATIVO'!$B$25,'12 - APOIO EDUCATIVO'!$B$26,'12 - APOIO EDUCATIVO'!$B$27,'12 - APOIO EDUCATIVO'!$B$28)</c:f>
              <c:numCache>
                <c:formatCode>General</c:formatCode>
                <c:ptCount val="5"/>
                <c:pt idx="0">
                  <c:v>135</c:v>
                </c:pt>
                <c:pt idx="1">
                  <c:v>127</c:v>
                </c:pt>
                <c:pt idx="2">
                  <c:v>162</c:v>
                </c:pt>
                <c:pt idx="3">
                  <c:v>120</c:v>
                </c:pt>
                <c:pt idx="4">
                  <c:v>118</c:v>
                </c:pt>
              </c:numCache>
            </c:numRef>
          </c:val>
        </c:ser>
        <c:ser>
          <c:idx val="1"/>
          <c:order val="1"/>
          <c:tx>
            <c:v>APOIO A LÍNGUA PORTUGUESA</c:v>
          </c:tx>
          <c:spPr>
            <a:solidFill>
              <a:srgbClr val="FF00FF"/>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EDUCATIVO'!$C$24,'12 - APOIO EDUCATIVO'!$C$25,'12 - APOIO EDUCATIVO'!$C$26,'12 - APOIO EDUCATIVO'!$C$27,'12 - APOIO EDUCATIVO'!$C$28)</c:f>
              <c:numCache>
                <c:formatCode>General</c:formatCode>
                <c:ptCount val="5"/>
                <c:pt idx="0">
                  <c:v>29</c:v>
                </c:pt>
                <c:pt idx="1">
                  <c:v>31</c:v>
                </c:pt>
                <c:pt idx="2">
                  <c:v>28</c:v>
                </c:pt>
                <c:pt idx="3">
                  <c:v>28</c:v>
                </c:pt>
                <c:pt idx="4">
                  <c:v>19</c:v>
                </c:pt>
              </c:numCache>
            </c:numRef>
          </c:val>
        </c:ser>
        <c:ser>
          <c:idx val="2"/>
          <c:order val="2"/>
          <c:tx>
            <c:v>APOIO A MATEMÁTICA</c:v>
          </c:tx>
          <c:spPr>
            <a:solidFill>
              <a:srgbClr val="FFFF00"/>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EDUCATIVO'!$F$24,'12 - APOIO EDUCATIVO'!$F$25,'12 - APOIO EDUCATIVO'!$F$26,'12 - APOIO EDUCATIVO'!$F$27,'12 - APOIO EDUCATIVO'!$F$28)</c:f>
              <c:numCache>
                <c:formatCode>General</c:formatCode>
                <c:ptCount val="5"/>
                <c:pt idx="0">
                  <c:v>30</c:v>
                </c:pt>
                <c:pt idx="1">
                  <c:v>42</c:v>
                </c:pt>
                <c:pt idx="2">
                  <c:v>52</c:v>
                </c:pt>
                <c:pt idx="3">
                  <c:v>28</c:v>
                </c:pt>
                <c:pt idx="4">
                  <c:v>20</c:v>
                </c:pt>
              </c:numCache>
            </c:numRef>
          </c:val>
        </c:ser>
        <c:ser>
          <c:idx val="3"/>
          <c:order val="3"/>
          <c:tx>
            <c:v>APOIO A INGLÊS</c:v>
          </c:tx>
          <c:spPr>
            <a:solidFill>
              <a:srgbClr val="00FF00"/>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EDUCATIVO'!$I$24,'12 - APOIO EDUCATIVO'!$I$25,'12 - APOIO EDUCATIVO'!$I$26,'12 - APOIO EDUCATIVO'!$I$27,'12 - APOIO EDUCATIVO'!$I$28)</c:f>
              <c:numCache>
                <c:formatCode>General</c:formatCode>
                <c:ptCount val="5"/>
                <c:pt idx="0">
                  <c:v>17</c:v>
                </c:pt>
                <c:pt idx="1">
                  <c:v>8</c:v>
                </c:pt>
                <c:pt idx="2">
                  <c:v>25</c:v>
                </c:pt>
                <c:pt idx="3">
                  <c:v>8</c:v>
                </c:pt>
                <c:pt idx="4">
                  <c:v>13</c:v>
                </c:pt>
              </c:numCache>
            </c:numRef>
          </c:val>
        </c:ser>
        <c:dLbls>
          <c:showLegendKey val="0"/>
          <c:showVal val="0"/>
          <c:showCatName val="0"/>
          <c:showSerName val="0"/>
          <c:showPercent val="0"/>
          <c:showBubbleSize val="0"/>
        </c:dLbls>
        <c:gapWidth val="150"/>
        <c:shape val="box"/>
        <c:axId val="162077696"/>
        <c:axId val="167799040"/>
        <c:axId val="0"/>
      </c:bar3DChart>
      <c:catAx>
        <c:axId val="162077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67799040"/>
        <c:crosses val="autoZero"/>
        <c:auto val="1"/>
        <c:lblAlgn val="ctr"/>
        <c:lblOffset val="100"/>
        <c:tickLblSkip val="1"/>
        <c:tickMarkSkip val="1"/>
        <c:noMultiLvlLbl val="0"/>
      </c:catAx>
      <c:valAx>
        <c:axId val="167799040"/>
        <c:scaling>
          <c:orientation val="minMax"/>
        </c:scaling>
        <c:delete val="0"/>
        <c:axPos val="l"/>
        <c:majorGridlines>
          <c:spPr>
            <a:ln w="3175">
              <a:solidFill>
                <a:srgbClr val="000000"/>
              </a:solidFill>
              <a:prstDash val="solid"/>
            </a:ln>
            <a:effectLst/>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62077696"/>
        <c:crosses val="autoZero"/>
        <c:crossBetween val="between"/>
      </c:valAx>
    </c:plotArea>
    <c:legend>
      <c:legendPos val="r"/>
      <c:layout>
        <c:manualLayout>
          <c:xMode val="edge"/>
          <c:yMode val="edge"/>
          <c:x val="0.74155844155844164"/>
          <c:y val="0.35015772870662459"/>
          <c:w val="0.25728672697298971"/>
          <c:h val="0.3053940058343710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horizontalDpi="300"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t-PT" sz="1100"/>
              <a:t>RESULTADOS DO APOIO A LÍNGUA PORTUGUESA</a:t>
            </a:r>
          </a:p>
        </c:rich>
      </c:tx>
      <c:layout>
        <c:manualLayout>
          <c:xMode val="edge"/>
          <c:yMode val="edge"/>
          <c:x val="0.16049398917728042"/>
          <c:y val="5.019305019305019E-2"/>
        </c:manualLayout>
      </c:layout>
      <c:overlay val="0"/>
      <c:spPr>
        <a:noFill/>
        <a:ln w="25400">
          <a:noFill/>
        </a:ln>
      </c:spPr>
    </c:title>
    <c:autoTitleDeleted val="0"/>
    <c:view3D>
      <c:rotX val="15"/>
      <c:hPercent val="44"/>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5.0926002673494446E-2"/>
          <c:y val="0.18146752357988141"/>
          <c:w val="0.58042440266922368"/>
          <c:h val="0.6718159383595671"/>
        </c:manualLayout>
      </c:layout>
      <c:bar3DChart>
        <c:barDir val="col"/>
        <c:grouping val="clustered"/>
        <c:varyColors val="0"/>
        <c:ser>
          <c:idx val="0"/>
          <c:order val="0"/>
          <c:tx>
            <c:v>ALUNOS COM APOIO</c:v>
          </c:tx>
          <c:spPr>
            <a:solidFill>
              <a:srgbClr val="0000FF"/>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EDUCATIVO'!$C$24:$C$28</c:f>
              <c:numCache>
                <c:formatCode>General</c:formatCode>
                <c:ptCount val="5"/>
                <c:pt idx="0">
                  <c:v>29</c:v>
                </c:pt>
                <c:pt idx="1">
                  <c:v>31</c:v>
                </c:pt>
                <c:pt idx="2">
                  <c:v>28</c:v>
                </c:pt>
                <c:pt idx="3">
                  <c:v>28</c:v>
                </c:pt>
                <c:pt idx="4">
                  <c:v>19</c:v>
                </c:pt>
              </c:numCache>
            </c:numRef>
          </c:val>
        </c:ser>
        <c:ser>
          <c:idx val="1"/>
          <c:order val="1"/>
          <c:tx>
            <c:v>ALUNOS COM NÍVEL IGUAL OU SUPERIOR A 3</c:v>
          </c:tx>
          <c:spPr>
            <a:solidFill>
              <a:srgbClr val="FF00FF"/>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EDUCATIVO'!$D$24:$D$28</c:f>
              <c:numCache>
                <c:formatCode>General</c:formatCode>
                <c:ptCount val="5"/>
                <c:pt idx="0">
                  <c:v>16</c:v>
                </c:pt>
                <c:pt idx="1">
                  <c:v>14</c:v>
                </c:pt>
                <c:pt idx="2">
                  <c:v>16</c:v>
                </c:pt>
                <c:pt idx="3">
                  <c:v>7</c:v>
                </c:pt>
                <c:pt idx="4">
                  <c:v>16</c:v>
                </c:pt>
              </c:numCache>
            </c:numRef>
          </c:val>
        </c:ser>
        <c:dLbls>
          <c:showLegendKey val="0"/>
          <c:showVal val="0"/>
          <c:showCatName val="0"/>
          <c:showSerName val="0"/>
          <c:showPercent val="0"/>
          <c:showBubbleSize val="0"/>
        </c:dLbls>
        <c:gapWidth val="150"/>
        <c:shape val="box"/>
        <c:axId val="165299712"/>
        <c:axId val="167801344"/>
        <c:axId val="0"/>
      </c:bar3DChart>
      <c:catAx>
        <c:axId val="1652997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67801344"/>
        <c:crosses val="autoZero"/>
        <c:auto val="1"/>
        <c:lblAlgn val="ctr"/>
        <c:lblOffset val="100"/>
        <c:tickLblSkip val="1"/>
        <c:tickMarkSkip val="1"/>
        <c:noMultiLvlLbl val="0"/>
      </c:catAx>
      <c:valAx>
        <c:axId val="167801344"/>
        <c:scaling>
          <c:orientation val="minMax"/>
          <c:max val="6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65299712"/>
        <c:crosses val="autoZero"/>
        <c:crossBetween val="between"/>
        <c:majorUnit val="10"/>
      </c:valAx>
      <c:spPr>
        <a:noFill/>
        <a:ln w="25400">
          <a:noFill/>
        </a:ln>
      </c:spPr>
    </c:plotArea>
    <c:legend>
      <c:legendPos val="r"/>
      <c:layout>
        <c:manualLayout>
          <c:xMode val="edge"/>
          <c:yMode val="edge"/>
          <c:x val="0.60168676332432613"/>
          <c:y val="0.39614872465266293"/>
          <c:w val="0.38847313827469104"/>
          <c:h val="0.23007043038539163"/>
        </c:manualLayout>
      </c:layout>
      <c:overlay val="0"/>
      <c:txPr>
        <a:bodyPr/>
        <a:lstStyle/>
        <a:p>
          <a:pPr>
            <a:defRPr sz="1000"/>
          </a:pPr>
          <a:endParaRPr lang="pt-PT"/>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t-PT" sz="1100"/>
              <a:t>RESULTADOS DO APOIO A MATEMÁTICA</a:t>
            </a:r>
          </a:p>
        </c:rich>
      </c:tx>
      <c:layout>
        <c:manualLayout>
          <c:xMode val="edge"/>
          <c:yMode val="edge"/>
          <c:x val="0.16266532742632694"/>
          <c:y val="4.1841004184100396E-2"/>
        </c:manualLayout>
      </c:layout>
      <c:overlay val="0"/>
      <c:spPr>
        <a:noFill/>
        <a:ln w="25400">
          <a:noFill/>
        </a:ln>
      </c:spPr>
    </c:title>
    <c:autoTitleDeleted val="0"/>
    <c:view3D>
      <c:rotX val="19"/>
      <c:hPercent val="40"/>
      <c:rotY val="25"/>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5.9592985659401569E-2"/>
          <c:y val="0.22733612273361217"/>
          <c:w val="0.55825153530565952"/>
          <c:h val="0.63598326359833013"/>
        </c:manualLayout>
      </c:layout>
      <c:bar3DChart>
        <c:barDir val="col"/>
        <c:grouping val="clustered"/>
        <c:varyColors val="0"/>
        <c:ser>
          <c:idx val="0"/>
          <c:order val="0"/>
          <c:tx>
            <c:v>ALUNOS COM APOIO</c:v>
          </c:tx>
          <c:spPr>
            <a:solidFill>
              <a:srgbClr val="0000FF"/>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EDUCATIVO'!$F$24:$F$28</c:f>
              <c:numCache>
                <c:formatCode>General</c:formatCode>
                <c:ptCount val="5"/>
                <c:pt idx="0">
                  <c:v>30</c:v>
                </c:pt>
                <c:pt idx="1">
                  <c:v>42</c:v>
                </c:pt>
                <c:pt idx="2">
                  <c:v>52</c:v>
                </c:pt>
                <c:pt idx="3">
                  <c:v>28</c:v>
                </c:pt>
                <c:pt idx="4">
                  <c:v>20</c:v>
                </c:pt>
              </c:numCache>
            </c:numRef>
          </c:val>
        </c:ser>
        <c:ser>
          <c:idx val="1"/>
          <c:order val="1"/>
          <c:tx>
            <c:v>ALUNOS COM NÍVEL IGUAL OU SUPERIOR A 3</c:v>
          </c:tx>
          <c:spPr>
            <a:solidFill>
              <a:srgbClr val="FF00FF"/>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EDUCATIVO'!$G$24:$G$28</c:f>
              <c:numCache>
                <c:formatCode>General</c:formatCode>
                <c:ptCount val="5"/>
                <c:pt idx="0">
                  <c:v>15</c:v>
                </c:pt>
                <c:pt idx="1">
                  <c:v>20</c:v>
                </c:pt>
                <c:pt idx="2">
                  <c:v>24</c:v>
                </c:pt>
                <c:pt idx="3">
                  <c:v>16</c:v>
                </c:pt>
                <c:pt idx="4">
                  <c:v>6</c:v>
                </c:pt>
              </c:numCache>
            </c:numRef>
          </c:val>
        </c:ser>
        <c:dLbls>
          <c:showLegendKey val="0"/>
          <c:showVal val="0"/>
          <c:showCatName val="0"/>
          <c:showSerName val="0"/>
          <c:showPercent val="0"/>
          <c:showBubbleSize val="0"/>
        </c:dLbls>
        <c:gapWidth val="150"/>
        <c:shape val="box"/>
        <c:axId val="165300224"/>
        <c:axId val="167803072"/>
        <c:axId val="0"/>
      </c:bar3DChart>
      <c:catAx>
        <c:axId val="1653002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67803072"/>
        <c:crosses val="autoZero"/>
        <c:auto val="1"/>
        <c:lblAlgn val="ctr"/>
        <c:lblOffset val="100"/>
        <c:tickLblSkip val="1"/>
        <c:tickMarkSkip val="1"/>
        <c:noMultiLvlLbl val="0"/>
      </c:catAx>
      <c:valAx>
        <c:axId val="1678030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65300224"/>
        <c:crosses val="autoZero"/>
        <c:crossBetween val="between"/>
      </c:valAx>
      <c:spPr>
        <a:noFill/>
        <a:ln w="25400">
          <a:noFill/>
        </a:ln>
      </c:spPr>
    </c:plotArea>
    <c:legend>
      <c:legendPos val="r"/>
      <c:layout>
        <c:manualLayout>
          <c:xMode val="edge"/>
          <c:yMode val="edge"/>
          <c:x val="0.59548671100578288"/>
          <c:y val="0.41701534170153415"/>
          <c:w val="0.38181688453991958"/>
          <c:h val="0.31241283124128444"/>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pt-PT" sz="1200"/>
              <a:t>QUALIDADE DA PROGRESSÃO DOS ALUNOS</a:t>
            </a:r>
          </a:p>
        </c:rich>
      </c:tx>
      <c:layout>
        <c:manualLayout>
          <c:xMode val="edge"/>
          <c:yMode val="edge"/>
          <c:x val="0.32886951631046518"/>
          <c:y val="3.5714285714285712E-2"/>
        </c:manualLayout>
      </c:layout>
      <c:overlay val="0"/>
      <c:spPr>
        <a:noFill/>
        <a:ln w="25400">
          <a:noFill/>
        </a:ln>
      </c:spPr>
    </c:title>
    <c:autoTitleDeleted val="0"/>
    <c:plotArea>
      <c:layout>
        <c:manualLayout>
          <c:layoutTarget val="inner"/>
          <c:xMode val="edge"/>
          <c:yMode val="edge"/>
          <c:x val="7.7381064832509616E-2"/>
          <c:y val="0.21428608797099749"/>
          <c:w val="0.7731791429148096"/>
          <c:h val="0.49938424040644314"/>
        </c:manualLayout>
      </c:layout>
      <c:barChart>
        <c:barDir val="col"/>
        <c:grouping val="clustered"/>
        <c:varyColors val="0"/>
        <c:ser>
          <c:idx val="0"/>
          <c:order val="0"/>
          <c:tx>
            <c:strRef>
              <c:f>'2.1.a'!$B$24</c:f>
              <c:strCache>
                <c:ptCount val="1"/>
                <c:pt idx="0">
                  <c:v>5º</c:v>
                </c:pt>
              </c:strCache>
            </c:strRef>
          </c:tx>
          <c:spPr>
            <a:solidFill>
              <a:srgbClr val="0070C0"/>
            </a:solidFill>
            <a:ln w="12700">
              <a:solidFill>
                <a:srgbClr val="000000"/>
              </a:solidFill>
              <a:prstDash val="solid"/>
            </a:ln>
          </c:spPr>
          <c:invertIfNegative val="0"/>
          <c:cat>
            <c:strLit>
              <c:ptCount val="5"/>
              <c:pt idx="0">
                <c:v>0 NÍVEIS INFERIORES A 3</c:v>
              </c:pt>
              <c:pt idx="1">
                <c:v>1 NÍVEL INFERIOR A 3</c:v>
              </c:pt>
              <c:pt idx="2">
                <c:v>2 NÍVEIS INFERIORES A 3</c:v>
              </c:pt>
              <c:pt idx="3">
                <c:v>3 NÍVEIS INFERIORES A 3</c:v>
              </c:pt>
              <c:pt idx="4">
                <c:v>MAIS DE 3 NÍVEIS INFERIORES A 3</c:v>
              </c:pt>
            </c:strLit>
          </c:cat>
          <c:val>
            <c:numRef>
              <c:f>('2.1.a'!$D$24,'2.1.a'!$F$24,'2.1.a'!$H$24,'2.1.a'!$J$24,'2.1.a'!$L$24)</c:f>
              <c:numCache>
                <c:formatCode>0.0%</c:formatCode>
                <c:ptCount val="5"/>
                <c:pt idx="0">
                  <c:v>0.50375939849624063</c:v>
                </c:pt>
                <c:pt idx="1">
                  <c:v>6.7669172932330823E-2</c:v>
                </c:pt>
                <c:pt idx="2">
                  <c:v>0.20300751879699247</c:v>
                </c:pt>
                <c:pt idx="3">
                  <c:v>1.5037593984962405E-2</c:v>
                </c:pt>
                <c:pt idx="4">
                  <c:v>2.2556390977443608E-2</c:v>
                </c:pt>
              </c:numCache>
            </c:numRef>
          </c:val>
        </c:ser>
        <c:ser>
          <c:idx val="1"/>
          <c:order val="1"/>
          <c:tx>
            <c:strRef>
              <c:f>'2.1.a'!$B$25</c:f>
              <c:strCache>
                <c:ptCount val="1"/>
                <c:pt idx="0">
                  <c:v>6º</c:v>
                </c:pt>
              </c:strCache>
            </c:strRef>
          </c:tx>
          <c:spPr>
            <a:solidFill>
              <a:srgbClr val="FF00FF"/>
            </a:solidFill>
            <a:ln w="12700">
              <a:solidFill>
                <a:srgbClr val="000000"/>
              </a:solidFill>
              <a:prstDash val="solid"/>
            </a:ln>
          </c:spPr>
          <c:invertIfNegative val="0"/>
          <c:cat>
            <c:strLit>
              <c:ptCount val="5"/>
              <c:pt idx="0">
                <c:v>0 NÍVEIS INFERIORES A 3</c:v>
              </c:pt>
              <c:pt idx="1">
                <c:v>1 NÍVEL INFERIOR A 3</c:v>
              </c:pt>
              <c:pt idx="2">
                <c:v>2 NÍVEIS INFERIORES A 3</c:v>
              </c:pt>
              <c:pt idx="3">
                <c:v>3 NÍVEIS INFERIORES A 3</c:v>
              </c:pt>
              <c:pt idx="4">
                <c:v>MAIS DE 3 NÍVEIS INFERIORES A 3</c:v>
              </c:pt>
            </c:strLit>
          </c:cat>
          <c:val>
            <c:numRef>
              <c:f>('2.1.a'!$D$25,'2.1.a'!$F$25,'2.1.a'!$H$25,'2.1.a'!$J$25,'2.1.a'!$L$25)</c:f>
              <c:numCache>
                <c:formatCode>0.0%</c:formatCode>
                <c:ptCount val="5"/>
                <c:pt idx="0">
                  <c:v>0.47619047619047616</c:v>
                </c:pt>
                <c:pt idx="1">
                  <c:v>0.17460317460317459</c:v>
                </c:pt>
                <c:pt idx="2">
                  <c:v>0.11904761904761904</c:v>
                </c:pt>
                <c:pt idx="3">
                  <c:v>1.5873015873015872E-2</c:v>
                </c:pt>
                <c:pt idx="4">
                  <c:v>7.9365079365079361E-2</c:v>
                </c:pt>
              </c:numCache>
            </c:numRef>
          </c:val>
        </c:ser>
        <c:ser>
          <c:idx val="2"/>
          <c:order val="2"/>
          <c:tx>
            <c:strRef>
              <c:f>'2.1.a'!$B$26</c:f>
              <c:strCache>
                <c:ptCount val="1"/>
                <c:pt idx="0">
                  <c:v>7º</c:v>
                </c:pt>
              </c:strCache>
            </c:strRef>
          </c:tx>
          <c:spPr>
            <a:solidFill>
              <a:srgbClr val="FFFF00"/>
            </a:solidFill>
            <a:ln w="12700">
              <a:solidFill>
                <a:srgbClr val="000000"/>
              </a:solidFill>
              <a:prstDash val="solid"/>
            </a:ln>
          </c:spPr>
          <c:invertIfNegative val="0"/>
          <c:cat>
            <c:strLit>
              <c:ptCount val="5"/>
              <c:pt idx="0">
                <c:v>0 NÍVEIS INFERIORES A 3</c:v>
              </c:pt>
              <c:pt idx="1">
                <c:v>1 NÍVEL INFERIOR A 3</c:v>
              </c:pt>
              <c:pt idx="2">
                <c:v>2 NÍVEIS INFERIORES A 3</c:v>
              </c:pt>
              <c:pt idx="3">
                <c:v>3 NÍVEIS INFERIORES A 3</c:v>
              </c:pt>
              <c:pt idx="4">
                <c:v>MAIS DE 3 NÍVEIS INFERIORES A 3</c:v>
              </c:pt>
            </c:strLit>
          </c:cat>
          <c:val>
            <c:numRef>
              <c:f>('2.1.a'!$D$26,'2.1.a'!$F$26,'2.1.a'!$H$26,'2.1.a'!$J$26,'2.1.a'!$L$26)</c:f>
              <c:numCache>
                <c:formatCode>0.0%</c:formatCode>
                <c:ptCount val="5"/>
                <c:pt idx="0">
                  <c:v>0.31481481481481483</c:v>
                </c:pt>
                <c:pt idx="1">
                  <c:v>0.1111111111111111</c:v>
                </c:pt>
                <c:pt idx="2">
                  <c:v>0.11728395061728394</c:v>
                </c:pt>
                <c:pt idx="3">
                  <c:v>6.7901234567901231E-2</c:v>
                </c:pt>
                <c:pt idx="4">
                  <c:v>3.0864197530864196E-2</c:v>
                </c:pt>
              </c:numCache>
            </c:numRef>
          </c:val>
        </c:ser>
        <c:ser>
          <c:idx val="3"/>
          <c:order val="3"/>
          <c:tx>
            <c:strRef>
              <c:f>'2.1.a'!$B$27</c:f>
              <c:strCache>
                <c:ptCount val="1"/>
                <c:pt idx="0">
                  <c:v>8º</c:v>
                </c:pt>
              </c:strCache>
            </c:strRef>
          </c:tx>
          <c:spPr>
            <a:solidFill>
              <a:srgbClr val="00FF00"/>
            </a:solidFill>
            <a:ln w="12700">
              <a:solidFill>
                <a:srgbClr val="000000"/>
              </a:solidFill>
              <a:prstDash val="solid"/>
            </a:ln>
          </c:spPr>
          <c:invertIfNegative val="0"/>
          <c:cat>
            <c:strLit>
              <c:ptCount val="5"/>
              <c:pt idx="0">
                <c:v>0 NÍVEIS INFERIORES A 3</c:v>
              </c:pt>
              <c:pt idx="1">
                <c:v>1 NÍVEL INFERIOR A 3</c:v>
              </c:pt>
              <c:pt idx="2">
                <c:v>2 NÍVEIS INFERIORES A 3</c:v>
              </c:pt>
              <c:pt idx="3">
                <c:v>3 NÍVEIS INFERIORES A 3</c:v>
              </c:pt>
              <c:pt idx="4">
                <c:v>MAIS DE 3 NÍVEIS INFERIORES A 3</c:v>
              </c:pt>
            </c:strLit>
          </c:cat>
          <c:val>
            <c:numRef>
              <c:f>('2.1.a'!$D$27,'2.1.a'!$F$27,'2.1.a'!$H$27,'2.1.a'!$J$27,'2.1.a'!$L$27)</c:f>
              <c:numCache>
                <c:formatCode>0.0%</c:formatCode>
                <c:ptCount val="5"/>
                <c:pt idx="0">
                  <c:v>0.32500000000000001</c:v>
                </c:pt>
                <c:pt idx="1">
                  <c:v>0.26666666666666666</c:v>
                </c:pt>
                <c:pt idx="2">
                  <c:v>0.2</c:v>
                </c:pt>
                <c:pt idx="3">
                  <c:v>6.6666666666666666E-2</c:v>
                </c:pt>
                <c:pt idx="4">
                  <c:v>1.6666666666666666E-2</c:v>
                </c:pt>
              </c:numCache>
            </c:numRef>
          </c:val>
        </c:ser>
        <c:ser>
          <c:idx val="4"/>
          <c:order val="4"/>
          <c:tx>
            <c:strRef>
              <c:f>'2.1.a'!$B$28</c:f>
              <c:strCache>
                <c:ptCount val="1"/>
                <c:pt idx="0">
                  <c:v>9º</c:v>
                </c:pt>
              </c:strCache>
            </c:strRef>
          </c:tx>
          <c:spPr>
            <a:solidFill>
              <a:srgbClr val="FF0000"/>
            </a:solidFill>
            <a:ln w="12700">
              <a:solidFill>
                <a:srgbClr val="000000"/>
              </a:solidFill>
              <a:prstDash val="solid"/>
            </a:ln>
          </c:spPr>
          <c:invertIfNegative val="0"/>
          <c:cat>
            <c:strLit>
              <c:ptCount val="5"/>
              <c:pt idx="0">
                <c:v>0 NÍVEIS INFERIORES A 3</c:v>
              </c:pt>
              <c:pt idx="1">
                <c:v>1 NÍVEL INFERIOR A 3</c:v>
              </c:pt>
              <c:pt idx="2">
                <c:v>2 NÍVEIS INFERIORES A 3</c:v>
              </c:pt>
              <c:pt idx="3">
                <c:v>3 NÍVEIS INFERIORES A 3</c:v>
              </c:pt>
              <c:pt idx="4">
                <c:v>MAIS DE 3 NÍVEIS INFERIORES A 3</c:v>
              </c:pt>
            </c:strLit>
          </c:cat>
          <c:val>
            <c:numRef>
              <c:f>('2.1.a'!$D$28,'2.1.a'!$F$28,'2.1.a'!$H$28,'2.1.a'!$J$28,'2.1.a'!$L$28)</c:f>
              <c:numCache>
                <c:formatCode>0.0%</c:formatCode>
                <c:ptCount val="5"/>
                <c:pt idx="0">
                  <c:v>0.48305084745762711</c:v>
                </c:pt>
                <c:pt idx="1">
                  <c:v>0.16101694915254236</c:v>
                </c:pt>
                <c:pt idx="2">
                  <c:v>0.17796610169491525</c:v>
                </c:pt>
                <c:pt idx="3">
                  <c:v>0</c:v>
                </c:pt>
                <c:pt idx="4">
                  <c:v>0</c:v>
                </c:pt>
              </c:numCache>
            </c:numRef>
          </c:val>
        </c:ser>
        <c:dLbls>
          <c:showLegendKey val="0"/>
          <c:showVal val="0"/>
          <c:showCatName val="0"/>
          <c:showSerName val="0"/>
          <c:showPercent val="0"/>
          <c:showBubbleSize val="0"/>
        </c:dLbls>
        <c:gapWidth val="150"/>
        <c:axId val="186170880"/>
        <c:axId val="113227968"/>
      </c:barChart>
      <c:catAx>
        <c:axId val="18617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13227968"/>
        <c:crosses val="autoZero"/>
        <c:auto val="1"/>
        <c:lblAlgn val="ctr"/>
        <c:lblOffset val="100"/>
        <c:tickLblSkip val="1"/>
        <c:tickMarkSkip val="1"/>
        <c:noMultiLvlLbl val="0"/>
      </c:catAx>
      <c:valAx>
        <c:axId val="113227968"/>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pt-PT"/>
          </a:p>
        </c:txPr>
        <c:crossAx val="186170880"/>
        <c:crosses val="autoZero"/>
        <c:crossBetween val="between"/>
        <c:majorUnit val="0.2"/>
      </c:valAx>
      <c:spPr>
        <a:noFill/>
        <a:ln w="12700">
          <a:solidFill>
            <a:srgbClr val="808080"/>
          </a:solidFill>
          <a:prstDash val="solid"/>
        </a:ln>
      </c:spPr>
    </c:plotArea>
    <c:legend>
      <c:legendPos val="r"/>
      <c:layout>
        <c:manualLayout>
          <c:xMode val="edge"/>
          <c:yMode val="edge"/>
          <c:x val="0.91079715653739524"/>
          <c:y val="3.018251891301129E-2"/>
          <c:w val="7.2843294301679393E-2"/>
          <c:h val="0.89076482867884765"/>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horizontalDpi="300" verticalDpi="300"/>
    <c:legacyDrawingHF r:id="rId1"/>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t-PT" sz="1100"/>
              <a:t>RESULTADOS DO APOIO A INGLÊS</a:t>
            </a:r>
          </a:p>
        </c:rich>
      </c:tx>
      <c:layout>
        <c:manualLayout>
          <c:xMode val="edge"/>
          <c:yMode val="edge"/>
          <c:x val="0.14241502319950061"/>
          <c:y val="4.6511627906977104E-2"/>
        </c:manualLayout>
      </c:layout>
      <c:overlay val="0"/>
      <c:spPr>
        <a:noFill/>
        <a:ln w="25400">
          <a:noFill/>
        </a:ln>
      </c:spPr>
    </c:title>
    <c:autoTitleDeleted val="0"/>
    <c:view3D>
      <c:rotX val="15"/>
      <c:hPercent val="3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1067717788259763"/>
          <c:y val="0.21862636051612494"/>
          <c:w val="0.44477539949511075"/>
          <c:h val="0.61395348837209363"/>
        </c:manualLayout>
      </c:layout>
      <c:bar3DChart>
        <c:barDir val="col"/>
        <c:grouping val="clustered"/>
        <c:varyColors val="0"/>
        <c:ser>
          <c:idx val="0"/>
          <c:order val="0"/>
          <c:tx>
            <c:v>ALUNOS COM APOIO</c:v>
          </c:tx>
          <c:spPr>
            <a:solidFill>
              <a:srgbClr val="0000FF"/>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EDUCATIVO'!$I$24:$I$28</c:f>
              <c:numCache>
                <c:formatCode>General</c:formatCode>
                <c:ptCount val="5"/>
                <c:pt idx="0">
                  <c:v>17</c:v>
                </c:pt>
                <c:pt idx="1">
                  <c:v>8</c:v>
                </c:pt>
                <c:pt idx="2">
                  <c:v>25</c:v>
                </c:pt>
                <c:pt idx="3">
                  <c:v>8</c:v>
                </c:pt>
                <c:pt idx="4">
                  <c:v>13</c:v>
                </c:pt>
              </c:numCache>
            </c:numRef>
          </c:val>
        </c:ser>
        <c:ser>
          <c:idx val="1"/>
          <c:order val="1"/>
          <c:tx>
            <c:v>ALUNOS COM NÍVEL IGUAL OU SUPERIOR A 3</c:v>
          </c:tx>
          <c:spPr>
            <a:solidFill>
              <a:srgbClr val="FF00FF"/>
            </a:solidFill>
            <a:ln w="12700">
              <a:solidFill>
                <a:srgbClr val="000000"/>
              </a:solidFill>
              <a:prstDash val="solid"/>
            </a:ln>
          </c:spPr>
          <c:invertIfNegative val="0"/>
          <c:cat>
            <c:strRef>
              <c:f>'12 - APOIO EDUCATIVO'!$A$24:$A$28</c:f>
              <c:strCache>
                <c:ptCount val="5"/>
                <c:pt idx="0">
                  <c:v>5º</c:v>
                </c:pt>
                <c:pt idx="1">
                  <c:v>6º</c:v>
                </c:pt>
                <c:pt idx="2">
                  <c:v>7º</c:v>
                </c:pt>
                <c:pt idx="3">
                  <c:v>8º</c:v>
                </c:pt>
                <c:pt idx="4">
                  <c:v>9º</c:v>
                </c:pt>
              </c:strCache>
            </c:strRef>
          </c:cat>
          <c:val>
            <c:numRef>
              <c:f>'12 - APOIO EDUCATIVO'!$J$24:$J$28</c:f>
              <c:numCache>
                <c:formatCode>General</c:formatCode>
                <c:ptCount val="5"/>
                <c:pt idx="0">
                  <c:v>9</c:v>
                </c:pt>
                <c:pt idx="1">
                  <c:v>3</c:v>
                </c:pt>
                <c:pt idx="2">
                  <c:v>10</c:v>
                </c:pt>
                <c:pt idx="3">
                  <c:v>3</c:v>
                </c:pt>
                <c:pt idx="4">
                  <c:v>9</c:v>
                </c:pt>
              </c:numCache>
            </c:numRef>
          </c:val>
        </c:ser>
        <c:dLbls>
          <c:showLegendKey val="0"/>
          <c:showVal val="0"/>
          <c:showCatName val="0"/>
          <c:showSerName val="0"/>
          <c:showPercent val="0"/>
          <c:showBubbleSize val="0"/>
        </c:dLbls>
        <c:gapWidth val="150"/>
        <c:shape val="box"/>
        <c:axId val="165300736"/>
        <c:axId val="165249024"/>
        <c:axId val="0"/>
      </c:bar3DChart>
      <c:catAx>
        <c:axId val="1653007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65249024"/>
        <c:crosses val="autoZero"/>
        <c:auto val="1"/>
        <c:lblAlgn val="ctr"/>
        <c:lblOffset val="100"/>
        <c:tickLblSkip val="1"/>
        <c:tickMarkSkip val="1"/>
        <c:noMultiLvlLbl val="0"/>
      </c:catAx>
      <c:valAx>
        <c:axId val="165249024"/>
        <c:scaling>
          <c:orientation val="minMax"/>
          <c:max val="6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PT"/>
          </a:p>
        </c:txPr>
        <c:crossAx val="165300736"/>
        <c:crosses val="autoZero"/>
        <c:crossBetween val="between"/>
        <c:majorUnit val="10"/>
      </c:valAx>
      <c:spPr>
        <a:noFill/>
        <a:ln w="25400">
          <a:noFill/>
        </a:ln>
      </c:spPr>
    </c:plotArea>
    <c:legend>
      <c:legendPos val="r"/>
      <c:layout>
        <c:manualLayout>
          <c:xMode val="edge"/>
          <c:yMode val="edge"/>
          <c:x val="0.61410106552910193"/>
          <c:y val="0.41396765963695098"/>
          <c:w val="0.37635239509142637"/>
          <c:h val="0.26225134445606757"/>
        </c:manualLayout>
      </c:layout>
      <c:overlay val="0"/>
      <c:txPr>
        <a:bodyPr/>
        <a:lstStyle/>
        <a:p>
          <a:pPr>
            <a:defRPr sz="1000"/>
          </a:pPr>
          <a:endParaRPr lang="pt-PT"/>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pt-PT"/>
              <a:t>PERCENTAGEM DE ALUNOS COM NECESSIDADES EDUCATIVAS ESPECIAIS QUE NÃO TRANSITARAM</a:t>
            </a:r>
          </a:p>
        </c:rich>
      </c:tx>
      <c:layout>
        <c:manualLayout>
          <c:xMode val="edge"/>
          <c:yMode val="edge"/>
          <c:x val="0.18390852867529578"/>
          <c:y val="2.8225806451612902E-2"/>
        </c:manualLayout>
      </c:layout>
      <c:overlay val="0"/>
      <c:spPr>
        <a:noFill/>
        <a:ln w="25400">
          <a:noFill/>
        </a:ln>
      </c:spPr>
    </c:title>
    <c:autoTitleDeleted val="0"/>
    <c:view3D>
      <c:rotX val="3"/>
      <c:hPercent val="42"/>
      <c:rotY val="22"/>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11264393104330783"/>
          <c:y val="0.28225806451612873"/>
          <c:w val="0.85517433363491246"/>
          <c:h val="0.56451612903224835"/>
        </c:manualLayout>
      </c:layout>
      <c:bar3DChart>
        <c:barDir val="col"/>
        <c:grouping val="clustered"/>
        <c:varyColors val="0"/>
        <c:ser>
          <c:idx val="0"/>
          <c:order val="0"/>
          <c:spPr>
            <a:solidFill>
              <a:srgbClr val="00FF00"/>
            </a:solidFill>
            <a:ln w="12700">
              <a:solidFill>
                <a:srgbClr val="000000"/>
              </a:solidFill>
              <a:prstDash val="solid"/>
            </a:ln>
          </c:spPr>
          <c:invertIfNegative val="0"/>
          <c:dLbls>
            <c:dLbl>
              <c:idx val="0"/>
              <c:layout>
                <c:manualLayout>
                  <c:x val="1.26723562959458E-2"/>
                  <c:y val="1.1205545561776067E-2"/>
                </c:manualLayout>
              </c:layout>
              <c:showLegendKey val="0"/>
              <c:showVal val="1"/>
              <c:showCatName val="0"/>
              <c:showSerName val="0"/>
              <c:showPercent val="0"/>
              <c:showBubbleSize val="0"/>
            </c:dLbl>
            <c:dLbl>
              <c:idx val="1"/>
              <c:layout>
                <c:manualLayout>
                  <c:x val="1.7074288301627563E-2"/>
                  <c:y val="9.0071363704371226E-3"/>
                </c:manualLayout>
              </c:layout>
              <c:showLegendKey val="0"/>
              <c:showVal val="1"/>
              <c:showCatName val="0"/>
              <c:showSerName val="0"/>
              <c:showPercent val="0"/>
              <c:showBubbleSize val="0"/>
            </c:dLbl>
            <c:dLbl>
              <c:idx val="2"/>
              <c:layout>
                <c:manualLayout>
                  <c:x val="2.1476220307309411E-2"/>
                  <c:y val="1.9055747892317721E-2"/>
                </c:manualLayout>
              </c:layout>
              <c:showLegendKey val="0"/>
              <c:showVal val="1"/>
              <c:showCatName val="0"/>
              <c:showSerName val="0"/>
              <c:showPercent val="0"/>
              <c:showBubbleSize val="0"/>
            </c:dLbl>
            <c:dLbl>
              <c:idx val="3"/>
              <c:layout>
                <c:manualLayout>
                  <c:x val="2.6070509801481876E-2"/>
                  <c:y val="8.9051464678273264E-3"/>
                </c:manualLayout>
              </c:layout>
              <c:showLegendKey val="0"/>
              <c:showVal val="1"/>
              <c:showCatName val="0"/>
              <c:showSerName val="0"/>
              <c:showPercent val="0"/>
              <c:showBubbleSize val="0"/>
            </c:dLbl>
            <c:dLbl>
              <c:idx val="4"/>
              <c:layout>
                <c:manualLayout>
                  <c:x val="2.3575874600430435E-2"/>
                  <c:y val="1.2937404532343318E-2"/>
                </c:manualLayout>
              </c:layout>
              <c:showLegendKey val="0"/>
              <c:showVal val="1"/>
              <c:showCatName val="0"/>
              <c:showSerName val="0"/>
              <c:showPercent val="0"/>
              <c:showBubbleSize val="0"/>
            </c:dLbl>
            <c:spPr>
              <a:noFill/>
              <a:ln w="25400">
                <a:noFill/>
              </a:ln>
            </c:spPr>
            <c:txPr>
              <a:bodyPr/>
              <a:lstStyle/>
              <a:p>
                <a:pPr>
                  <a:defRPr sz="825" b="0" i="0" u="none" strike="noStrike" baseline="0">
                    <a:solidFill>
                      <a:srgbClr val="000000"/>
                    </a:solidFill>
                    <a:latin typeface="Arial"/>
                    <a:ea typeface="Arial"/>
                    <a:cs typeface="Arial"/>
                  </a:defRPr>
                </a:pPr>
                <a:endParaRPr lang="pt-PT"/>
              </a:p>
            </c:txPr>
            <c:showLegendKey val="0"/>
            <c:showVal val="1"/>
            <c:showCatName val="0"/>
            <c:showSerName val="0"/>
            <c:showPercent val="0"/>
            <c:showBubbleSize val="0"/>
            <c:showLeaderLines val="0"/>
          </c:dLbls>
          <c:cat>
            <c:strLit>
              <c:ptCount val="5"/>
              <c:pt idx="0">
                <c:v>5º ANO</c:v>
              </c:pt>
              <c:pt idx="1">
                <c:v>6º ANO</c:v>
              </c:pt>
              <c:pt idx="2">
                <c:v>7º ANO</c:v>
              </c:pt>
              <c:pt idx="3">
                <c:v>8º ANO</c:v>
              </c:pt>
              <c:pt idx="4">
                <c:v>9º ANO</c:v>
              </c:pt>
            </c:strLit>
          </c:cat>
          <c:val>
            <c:numRef>
              <c:f>'13 - ALUNOS NEE'!$H$10:$H$14</c:f>
              <c:numCache>
                <c:formatCode>0.00%</c:formatCode>
                <c:ptCount val="5"/>
                <c:pt idx="0">
                  <c:v>0</c:v>
                </c:pt>
                <c:pt idx="1">
                  <c:v>0.25</c:v>
                </c:pt>
                <c:pt idx="2">
                  <c:v>0</c:v>
                </c:pt>
                <c:pt idx="3">
                  <c:v>0</c:v>
                </c:pt>
                <c:pt idx="4">
                  <c:v>0</c:v>
                </c:pt>
              </c:numCache>
            </c:numRef>
          </c:val>
        </c:ser>
        <c:dLbls>
          <c:showLegendKey val="0"/>
          <c:showVal val="0"/>
          <c:showCatName val="0"/>
          <c:showSerName val="0"/>
          <c:showPercent val="0"/>
          <c:showBubbleSize val="0"/>
        </c:dLbls>
        <c:gapWidth val="150"/>
        <c:shape val="box"/>
        <c:axId val="167948288"/>
        <c:axId val="165251328"/>
        <c:axId val="0"/>
      </c:bar3DChart>
      <c:catAx>
        <c:axId val="1679482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pt-PT"/>
          </a:p>
        </c:txPr>
        <c:crossAx val="165251328"/>
        <c:crosses val="autoZero"/>
        <c:auto val="1"/>
        <c:lblAlgn val="ctr"/>
        <c:lblOffset val="100"/>
        <c:tickLblSkip val="1"/>
        <c:tickMarkSkip val="1"/>
        <c:noMultiLvlLbl val="0"/>
      </c:catAx>
      <c:valAx>
        <c:axId val="165251328"/>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pt-PT"/>
          </a:p>
        </c:txPr>
        <c:crossAx val="167948288"/>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pt-PT"/>
              <a:t>COMPARAÇÃO DAS NOTAS DA FREQUÊNCIA À DISCIPLINA DE LÍNGUA PORTUGUESA 
COM AS DO EXAME NO 9º ANO</a:t>
            </a:r>
          </a:p>
        </c:rich>
      </c:tx>
      <c:layout>
        <c:manualLayout>
          <c:xMode val="edge"/>
          <c:yMode val="edge"/>
          <c:x val="0.11552346570397112"/>
          <c:y val="3.6184210526316089E-2"/>
        </c:manualLayout>
      </c:layout>
      <c:overlay val="0"/>
      <c:spPr>
        <a:noFill/>
        <a:ln w="25400">
          <a:noFill/>
        </a:ln>
      </c:spPr>
    </c:title>
    <c:autoTitleDeleted val="0"/>
    <c:view3D>
      <c:rotX val="15"/>
      <c:rotY val="20"/>
      <c:depthPercent val="100"/>
      <c:rAngAx val="1"/>
    </c:view3D>
    <c:floor>
      <c:thickness val="0"/>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10830324909747292"/>
          <c:y val="0.34868477057972458"/>
          <c:w val="0.67148014440433212"/>
          <c:h val="0.50329028206318871"/>
        </c:manualLayout>
      </c:layout>
      <c:bar3DChart>
        <c:barDir val="col"/>
        <c:grouping val="clustered"/>
        <c:varyColors val="0"/>
        <c:ser>
          <c:idx val="0"/>
          <c:order val="0"/>
          <c:tx>
            <c:v>FREQUÊNCIA</c:v>
          </c:tx>
          <c:spPr>
            <a:solidFill>
              <a:srgbClr val="9999FF"/>
            </a:solidFill>
            <a:ln w="12700">
              <a:solidFill>
                <a:srgbClr val="000000"/>
              </a:solidFill>
              <a:prstDash val="solid"/>
            </a:ln>
          </c:spPr>
          <c:invertIfNegative val="0"/>
          <c:cat>
            <c:strLit>
              <c:ptCount val="2"/>
              <c:pt idx="0">
                <c:v>NEGATIVAS</c:v>
              </c:pt>
              <c:pt idx="1">
                <c:v>POSITIVAS</c:v>
              </c:pt>
            </c:strLit>
          </c:cat>
          <c:val>
            <c:numRef>
              <c:f>Folha1!$B$39:$C$39</c:f>
              <c:numCache>
                <c:formatCode>0.0%</c:formatCode>
                <c:ptCount val="2"/>
                <c:pt idx="0">
                  <c:v>4.9504950495049507E-2</c:v>
                </c:pt>
                <c:pt idx="1">
                  <c:v>0.95049504950495045</c:v>
                </c:pt>
              </c:numCache>
            </c:numRef>
          </c:val>
        </c:ser>
        <c:ser>
          <c:idx val="1"/>
          <c:order val="1"/>
          <c:tx>
            <c:v>EXAME</c:v>
          </c:tx>
          <c:spPr>
            <a:solidFill>
              <a:srgbClr val="993366"/>
            </a:solidFill>
            <a:ln w="12700">
              <a:solidFill>
                <a:srgbClr val="000000"/>
              </a:solidFill>
              <a:prstDash val="solid"/>
            </a:ln>
          </c:spPr>
          <c:invertIfNegative val="0"/>
          <c:cat>
            <c:strLit>
              <c:ptCount val="2"/>
              <c:pt idx="0">
                <c:v>NEGATIVAS</c:v>
              </c:pt>
              <c:pt idx="1">
                <c:v>POSITIVAS</c:v>
              </c:pt>
            </c:strLit>
          </c:cat>
          <c:val>
            <c:numRef>
              <c:f>Folha1!$B$40:$C$40</c:f>
              <c:numCache>
                <c:formatCode>0.0%</c:formatCode>
                <c:ptCount val="2"/>
                <c:pt idx="0">
                  <c:v>0.18811881188118812</c:v>
                </c:pt>
                <c:pt idx="1">
                  <c:v>0.81188118811881194</c:v>
                </c:pt>
              </c:numCache>
            </c:numRef>
          </c:val>
        </c:ser>
        <c:dLbls>
          <c:showLegendKey val="0"/>
          <c:showVal val="0"/>
          <c:showCatName val="0"/>
          <c:showSerName val="0"/>
          <c:showPercent val="0"/>
          <c:showBubbleSize val="0"/>
        </c:dLbls>
        <c:gapWidth val="150"/>
        <c:shape val="box"/>
        <c:axId val="168138240"/>
        <c:axId val="165253056"/>
        <c:axId val="0"/>
      </c:bar3DChart>
      <c:catAx>
        <c:axId val="168138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pt-PT"/>
          </a:p>
        </c:txPr>
        <c:crossAx val="165253056"/>
        <c:crosses val="autoZero"/>
        <c:auto val="1"/>
        <c:lblAlgn val="ctr"/>
        <c:lblOffset val="100"/>
        <c:tickLblSkip val="1"/>
        <c:tickMarkSkip val="1"/>
        <c:noMultiLvlLbl val="0"/>
      </c:catAx>
      <c:valAx>
        <c:axId val="165253056"/>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pt-PT"/>
          </a:p>
        </c:txPr>
        <c:crossAx val="168138240"/>
        <c:crosses val="autoZero"/>
        <c:crossBetween val="between"/>
        <c:majorUnit val="0.2"/>
      </c:valAx>
    </c:plotArea>
    <c:legend>
      <c:legendPos val="r"/>
      <c:layout>
        <c:manualLayout>
          <c:xMode val="edge"/>
          <c:yMode val="edge"/>
          <c:x val="0.79963898916967513"/>
          <c:y val="0.5263166348373125"/>
          <c:w val="0.16476886172360986"/>
          <c:h val="0.13438997544661757"/>
        </c:manualLayout>
      </c:layout>
      <c:overlay val="0"/>
      <c:spPr>
        <a:solidFill>
          <a:srgbClr val="FFFFFF"/>
        </a:solidFill>
        <a:ln w="25400">
          <a:noFill/>
        </a:ln>
      </c:spPr>
      <c:txPr>
        <a:bodyPr/>
        <a:lstStyle/>
        <a:p>
          <a:pPr>
            <a:defRPr sz="87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verticalDpi="0"/>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t-PT"/>
              <a:t>COMPARAÇÃO DAS NOTAS DA FREQUÊNCIA À DISCIPLINA DE MATEMÁTICA 
COM AS DO EXAME NO 9º ANO</a:t>
            </a:r>
          </a:p>
        </c:rich>
      </c:tx>
      <c:layout>
        <c:manualLayout>
          <c:xMode val="edge"/>
          <c:yMode val="edge"/>
          <c:x val="6.8592057761732869E-2"/>
          <c:y val="2.0618556701030927E-2"/>
        </c:manualLayout>
      </c:layout>
      <c:overlay val="0"/>
      <c:spPr>
        <a:noFill/>
        <a:ln w="25400">
          <a:noFill/>
        </a:ln>
      </c:spPr>
    </c:title>
    <c:autoTitleDeleted val="0"/>
    <c:view3D>
      <c:rotX val="15"/>
      <c:rotY val="20"/>
      <c:depthPercent val="100"/>
      <c:rAngAx val="1"/>
    </c:view3D>
    <c:floor>
      <c:thickness val="0"/>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10649819494584839"/>
          <c:y val="0.36426239080752931"/>
          <c:w val="0.68231046931407968"/>
          <c:h val="0.48453770852699629"/>
        </c:manualLayout>
      </c:layout>
      <c:bar3DChart>
        <c:barDir val="col"/>
        <c:grouping val="clustered"/>
        <c:varyColors val="0"/>
        <c:ser>
          <c:idx val="0"/>
          <c:order val="0"/>
          <c:tx>
            <c:v>FREQUÊNCIA</c:v>
          </c:tx>
          <c:spPr>
            <a:solidFill>
              <a:srgbClr val="9999FF"/>
            </a:solidFill>
            <a:ln w="12700">
              <a:solidFill>
                <a:srgbClr val="000000"/>
              </a:solidFill>
              <a:prstDash val="solid"/>
            </a:ln>
          </c:spPr>
          <c:invertIfNegative val="0"/>
          <c:cat>
            <c:strLit>
              <c:ptCount val="2"/>
              <c:pt idx="0">
                <c:v>NEGATIVAS</c:v>
              </c:pt>
              <c:pt idx="1">
                <c:v>POSITIVAS</c:v>
              </c:pt>
            </c:strLit>
          </c:cat>
          <c:val>
            <c:numRef>
              <c:f>Folha1!$E$39:$F$39</c:f>
              <c:numCache>
                <c:formatCode>0.0%</c:formatCode>
                <c:ptCount val="2"/>
                <c:pt idx="0">
                  <c:v>0.17821782178217821</c:v>
                </c:pt>
                <c:pt idx="1">
                  <c:v>0.82178217821782173</c:v>
                </c:pt>
              </c:numCache>
            </c:numRef>
          </c:val>
        </c:ser>
        <c:ser>
          <c:idx val="1"/>
          <c:order val="1"/>
          <c:tx>
            <c:v>EXAME</c:v>
          </c:tx>
          <c:spPr>
            <a:solidFill>
              <a:srgbClr val="993366"/>
            </a:solidFill>
            <a:ln w="12700">
              <a:solidFill>
                <a:srgbClr val="000000"/>
              </a:solidFill>
              <a:prstDash val="solid"/>
            </a:ln>
          </c:spPr>
          <c:invertIfNegative val="0"/>
          <c:cat>
            <c:strLit>
              <c:ptCount val="2"/>
              <c:pt idx="0">
                <c:v>NEGATIVAS</c:v>
              </c:pt>
              <c:pt idx="1">
                <c:v>POSITIVAS</c:v>
              </c:pt>
            </c:strLit>
          </c:cat>
          <c:val>
            <c:numRef>
              <c:f>Folha1!$E$40:$F$40</c:f>
              <c:numCache>
                <c:formatCode>0.0%</c:formatCode>
                <c:ptCount val="2"/>
                <c:pt idx="0">
                  <c:v>0.52475247524752477</c:v>
                </c:pt>
                <c:pt idx="1">
                  <c:v>0.47524752475247523</c:v>
                </c:pt>
              </c:numCache>
            </c:numRef>
          </c:val>
        </c:ser>
        <c:dLbls>
          <c:showLegendKey val="0"/>
          <c:showVal val="0"/>
          <c:showCatName val="0"/>
          <c:showSerName val="0"/>
          <c:showPercent val="0"/>
          <c:showBubbleSize val="0"/>
        </c:dLbls>
        <c:gapWidth val="150"/>
        <c:shape val="box"/>
        <c:axId val="168139776"/>
        <c:axId val="165254784"/>
        <c:axId val="0"/>
      </c:bar3DChart>
      <c:catAx>
        <c:axId val="168139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pt-PT"/>
          </a:p>
        </c:txPr>
        <c:crossAx val="165254784"/>
        <c:crosses val="autoZero"/>
        <c:auto val="1"/>
        <c:lblAlgn val="ctr"/>
        <c:lblOffset val="100"/>
        <c:tickLblSkip val="1"/>
        <c:tickMarkSkip val="1"/>
        <c:noMultiLvlLbl val="0"/>
      </c:catAx>
      <c:valAx>
        <c:axId val="165254784"/>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pt-PT"/>
          </a:p>
        </c:txPr>
        <c:crossAx val="168139776"/>
        <c:crosses val="autoZero"/>
        <c:crossBetween val="between"/>
        <c:majorUnit val="0.2"/>
      </c:valAx>
    </c:plotArea>
    <c:legend>
      <c:legendPos val="r"/>
      <c:layout>
        <c:manualLayout>
          <c:xMode val="edge"/>
          <c:yMode val="edge"/>
          <c:x val="0.81046931407942235"/>
          <c:y val="0.5326478356147909"/>
          <c:w val="0.16211190729186534"/>
          <c:h val="0.17777777777777778"/>
        </c:manualLayout>
      </c:layout>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pt-PT"/>
              <a:t>COMPARAÇÃO DAS NOTAS DA FREQUÊNCIA À DISCIPLINA DE 
LÍNGUA PORTUGUESA 
COM AS PROVAS DE AFERIÇÃO NO 6º ANO</a:t>
            </a:r>
          </a:p>
        </c:rich>
      </c:tx>
      <c:layout>
        <c:manualLayout>
          <c:xMode val="edge"/>
          <c:yMode val="edge"/>
          <c:x val="3.5603715170278903E-2"/>
          <c:y val="2.8880866425992802E-2"/>
        </c:manualLayout>
      </c:layout>
      <c:overlay val="0"/>
      <c:spPr>
        <a:noFill/>
        <a:ln w="25400">
          <a:noFill/>
        </a:ln>
      </c:spPr>
    </c:title>
    <c:autoTitleDeleted val="0"/>
    <c:view3D>
      <c:rotX val="15"/>
      <c:rotY val="20"/>
      <c:depthPercent val="100"/>
      <c:rAngAx val="1"/>
    </c:view3D>
    <c:floor>
      <c:thickness val="0"/>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9.1331338382941288E-2"/>
          <c:y val="0.32852043469447489"/>
          <c:w val="0.53715210879458686"/>
          <c:h val="0.51263628271005357"/>
        </c:manualLayout>
      </c:layout>
      <c:bar3DChart>
        <c:barDir val="col"/>
        <c:grouping val="clustered"/>
        <c:varyColors val="0"/>
        <c:ser>
          <c:idx val="0"/>
          <c:order val="0"/>
          <c:tx>
            <c:v>FREQUÊNCIA</c:v>
          </c:tx>
          <c:spPr>
            <a:solidFill>
              <a:srgbClr val="9999FF"/>
            </a:solidFill>
            <a:ln w="12700">
              <a:solidFill>
                <a:srgbClr val="000000"/>
              </a:solidFill>
              <a:prstDash val="solid"/>
            </a:ln>
          </c:spPr>
          <c:invertIfNegative val="0"/>
          <c:cat>
            <c:strLit>
              <c:ptCount val="2"/>
              <c:pt idx="0">
                <c:v>NEGATIVAS</c:v>
              </c:pt>
              <c:pt idx="1">
                <c:v>POSITIVAS</c:v>
              </c:pt>
            </c:strLit>
          </c:cat>
          <c:val>
            <c:numRef>
              <c:f>Folha1!$B$48:$C$48</c:f>
              <c:numCache>
                <c:formatCode>0.0%</c:formatCode>
                <c:ptCount val="2"/>
                <c:pt idx="0">
                  <c:v>0.25396825396825395</c:v>
                </c:pt>
                <c:pt idx="1">
                  <c:v>0.74603174603174605</c:v>
                </c:pt>
              </c:numCache>
            </c:numRef>
          </c:val>
        </c:ser>
        <c:ser>
          <c:idx val="1"/>
          <c:order val="1"/>
          <c:tx>
            <c:v>PROVAS DE AFERIÇÃO</c:v>
          </c:tx>
          <c:spPr>
            <a:solidFill>
              <a:srgbClr val="993366"/>
            </a:solidFill>
            <a:ln w="12700">
              <a:solidFill>
                <a:srgbClr val="000000"/>
              </a:solidFill>
              <a:prstDash val="solid"/>
            </a:ln>
          </c:spPr>
          <c:invertIfNegative val="0"/>
          <c:cat>
            <c:strLit>
              <c:ptCount val="2"/>
              <c:pt idx="0">
                <c:v>NEGATIVAS</c:v>
              </c:pt>
              <c:pt idx="1">
                <c:v>POSITIVAS</c:v>
              </c:pt>
            </c:strLit>
          </c:cat>
          <c:val>
            <c:numRef>
              <c:f>Folha1!$B$49:$C$49</c:f>
              <c:numCache>
                <c:formatCode>0.0%</c:formatCode>
                <c:ptCount val="2"/>
                <c:pt idx="0">
                  <c:v>0.30769230769230771</c:v>
                </c:pt>
                <c:pt idx="1">
                  <c:v>0.69230769230769229</c:v>
                </c:pt>
              </c:numCache>
            </c:numRef>
          </c:val>
        </c:ser>
        <c:dLbls>
          <c:showLegendKey val="0"/>
          <c:showVal val="0"/>
          <c:showCatName val="0"/>
          <c:showSerName val="0"/>
          <c:showPercent val="0"/>
          <c:showBubbleSize val="0"/>
        </c:dLbls>
        <c:gapWidth val="150"/>
        <c:shape val="box"/>
        <c:axId val="168140288"/>
        <c:axId val="165732928"/>
        <c:axId val="0"/>
      </c:bar3DChart>
      <c:catAx>
        <c:axId val="168140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pt-PT"/>
          </a:p>
        </c:txPr>
        <c:crossAx val="165732928"/>
        <c:crosses val="autoZero"/>
        <c:auto val="1"/>
        <c:lblAlgn val="ctr"/>
        <c:lblOffset val="100"/>
        <c:tickLblSkip val="1"/>
        <c:tickMarkSkip val="1"/>
        <c:noMultiLvlLbl val="0"/>
      </c:catAx>
      <c:valAx>
        <c:axId val="165732928"/>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pt-PT"/>
          </a:p>
        </c:txPr>
        <c:crossAx val="168140288"/>
        <c:crosses val="autoZero"/>
        <c:crossBetween val="between"/>
        <c:majorUnit val="0.2"/>
      </c:valAx>
    </c:plotArea>
    <c:legend>
      <c:legendPos val="r"/>
      <c:layout>
        <c:manualLayout>
          <c:xMode val="edge"/>
          <c:yMode val="edge"/>
          <c:x val="0.65090652130022197"/>
          <c:y val="0.49793537632120338"/>
          <c:w val="0.26089666739255979"/>
          <c:h val="0.18418485924553538"/>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pt-PT"/>
              <a:t>COMPARAÇÃO DAS NOTAS DA FREQUÊNCIA À DISCIPLINA DE MATEMÁTICA
 COM AS DA PROVA DE AFERIÇÃO NO 6º ANO</a:t>
            </a:r>
          </a:p>
        </c:rich>
      </c:tx>
      <c:layout>
        <c:manualLayout>
          <c:xMode val="edge"/>
          <c:yMode val="edge"/>
          <c:x val="4.6931407942238788E-2"/>
          <c:y val="3.4700315457413616E-2"/>
        </c:manualLayout>
      </c:layout>
      <c:overlay val="0"/>
      <c:spPr>
        <a:noFill/>
        <a:ln w="25400">
          <a:noFill/>
        </a:ln>
      </c:spPr>
    </c:title>
    <c:autoTitleDeleted val="0"/>
    <c:view3D>
      <c:rotX val="15"/>
      <c:rotY val="20"/>
      <c:depthPercent val="100"/>
      <c:rAngAx val="1"/>
    </c:view3D>
    <c:floor>
      <c:thickness val="0"/>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10830324909747292"/>
          <c:y val="0.29968454258675081"/>
          <c:w val="0.57400722021660655"/>
          <c:h val="0.55835962145110463"/>
        </c:manualLayout>
      </c:layout>
      <c:bar3DChart>
        <c:barDir val="col"/>
        <c:grouping val="clustered"/>
        <c:varyColors val="0"/>
        <c:ser>
          <c:idx val="0"/>
          <c:order val="0"/>
          <c:tx>
            <c:v>FREQUÊNCIA</c:v>
          </c:tx>
          <c:spPr>
            <a:solidFill>
              <a:srgbClr val="9999FF"/>
            </a:solidFill>
            <a:ln w="12700">
              <a:solidFill>
                <a:srgbClr val="000000"/>
              </a:solidFill>
              <a:prstDash val="solid"/>
            </a:ln>
          </c:spPr>
          <c:invertIfNegative val="0"/>
          <c:cat>
            <c:strLit>
              <c:ptCount val="2"/>
              <c:pt idx="0">
                <c:v>NEGATIVAS</c:v>
              </c:pt>
              <c:pt idx="1">
                <c:v>POSITIVAS</c:v>
              </c:pt>
            </c:strLit>
          </c:cat>
          <c:val>
            <c:numRef>
              <c:f>Folha1!$E$48:$F$48</c:f>
              <c:numCache>
                <c:formatCode>0.0%</c:formatCode>
                <c:ptCount val="2"/>
                <c:pt idx="0">
                  <c:v>0.36507936507936506</c:v>
                </c:pt>
                <c:pt idx="1">
                  <c:v>0.63492063492063489</c:v>
                </c:pt>
              </c:numCache>
            </c:numRef>
          </c:val>
        </c:ser>
        <c:ser>
          <c:idx val="1"/>
          <c:order val="1"/>
          <c:tx>
            <c:v>PROVA DE AFERIÇÃO</c:v>
          </c:tx>
          <c:spPr>
            <a:solidFill>
              <a:srgbClr val="993366"/>
            </a:solidFill>
            <a:ln w="12700">
              <a:solidFill>
                <a:srgbClr val="000000"/>
              </a:solidFill>
              <a:prstDash val="solid"/>
            </a:ln>
          </c:spPr>
          <c:invertIfNegative val="0"/>
          <c:cat>
            <c:strLit>
              <c:ptCount val="2"/>
              <c:pt idx="0">
                <c:v>NEGATIVAS</c:v>
              </c:pt>
              <c:pt idx="1">
                <c:v>POSITIVAS</c:v>
              </c:pt>
            </c:strLit>
          </c:cat>
          <c:val>
            <c:numRef>
              <c:f>Folha1!$E$49:$F$49</c:f>
              <c:numCache>
                <c:formatCode>0.0%</c:formatCode>
                <c:ptCount val="2"/>
                <c:pt idx="0">
                  <c:v>0.5130434782608696</c:v>
                </c:pt>
                <c:pt idx="1">
                  <c:v>0.48695652173913045</c:v>
                </c:pt>
              </c:numCache>
            </c:numRef>
          </c:val>
        </c:ser>
        <c:dLbls>
          <c:showLegendKey val="0"/>
          <c:showVal val="0"/>
          <c:showCatName val="0"/>
          <c:showSerName val="0"/>
          <c:showPercent val="0"/>
          <c:showBubbleSize val="0"/>
        </c:dLbls>
        <c:gapWidth val="150"/>
        <c:shape val="box"/>
        <c:axId val="171540480"/>
        <c:axId val="165734656"/>
        <c:axId val="0"/>
      </c:bar3DChart>
      <c:catAx>
        <c:axId val="171540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65734656"/>
        <c:crosses val="autoZero"/>
        <c:auto val="1"/>
        <c:lblAlgn val="ctr"/>
        <c:lblOffset val="100"/>
        <c:tickLblSkip val="1"/>
        <c:tickMarkSkip val="1"/>
        <c:noMultiLvlLbl val="0"/>
      </c:catAx>
      <c:valAx>
        <c:axId val="165734656"/>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71540480"/>
        <c:crosses val="autoZero"/>
        <c:crossBetween val="between"/>
        <c:majorUnit val="0.2"/>
      </c:valAx>
    </c:plotArea>
    <c:legend>
      <c:legendPos val="r"/>
      <c:layout>
        <c:manualLayout>
          <c:xMode val="edge"/>
          <c:yMode val="edge"/>
          <c:x val="0.66547064595648964"/>
          <c:y val="0.48669042787956662"/>
          <c:w val="0.28887346528492586"/>
          <c:h val="0.20237179505726541"/>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ALUNOS COM ASE</a:t>
            </a:r>
          </a:p>
        </c:rich>
      </c:tx>
      <c:overlay val="0"/>
    </c:title>
    <c:autoTitleDeleted val="0"/>
    <c:plotArea>
      <c:layout/>
      <c:barChart>
        <c:barDir val="col"/>
        <c:grouping val="clustered"/>
        <c:varyColors val="0"/>
        <c:ser>
          <c:idx val="0"/>
          <c:order val="0"/>
          <c:tx>
            <c:strRef>
              <c:f>'15-ASE'!$D$10</c:f>
              <c:strCache>
                <c:ptCount val="1"/>
                <c:pt idx="0">
                  <c:v>Total de Alunos</c:v>
                </c:pt>
              </c:strCache>
            </c:strRef>
          </c:tx>
          <c:invertIfNegative val="0"/>
          <c:cat>
            <c:strRef>
              <c:f>'15-ASE'!$C$11:$C$16</c:f>
              <c:strCache>
                <c:ptCount val="6"/>
                <c:pt idx="0">
                  <c:v>5º</c:v>
                </c:pt>
                <c:pt idx="1">
                  <c:v>6º</c:v>
                </c:pt>
                <c:pt idx="2">
                  <c:v>7º</c:v>
                </c:pt>
                <c:pt idx="3">
                  <c:v>8º</c:v>
                </c:pt>
                <c:pt idx="4">
                  <c:v>9º</c:v>
                </c:pt>
                <c:pt idx="5">
                  <c:v>CEF</c:v>
                </c:pt>
              </c:strCache>
            </c:strRef>
          </c:cat>
          <c:val>
            <c:numRef>
              <c:f>('15-ASE'!$D$11,'15-ASE'!$D$12,'15-ASE'!$D$13,'15-ASE'!$D$14,'15-ASE'!$D$15,'15-ASE'!$D$16)</c:f>
              <c:numCache>
                <c:formatCode>General</c:formatCode>
                <c:ptCount val="6"/>
                <c:pt idx="0">
                  <c:v>135</c:v>
                </c:pt>
                <c:pt idx="1">
                  <c:v>127</c:v>
                </c:pt>
                <c:pt idx="2">
                  <c:v>162</c:v>
                </c:pt>
                <c:pt idx="3">
                  <c:v>120</c:v>
                </c:pt>
                <c:pt idx="4">
                  <c:v>118</c:v>
                </c:pt>
                <c:pt idx="5">
                  <c:v>33</c:v>
                </c:pt>
              </c:numCache>
            </c:numRef>
          </c:val>
        </c:ser>
        <c:ser>
          <c:idx val="1"/>
          <c:order val="1"/>
          <c:tx>
            <c:strRef>
              <c:f>'15-ASE'!$E$10</c:f>
              <c:strCache>
                <c:ptCount val="1"/>
                <c:pt idx="0">
                  <c:v>Total de Alunos com ASE</c:v>
                </c:pt>
              </c:strCache>
            </c:strRef>
          </c:tx>
          <c:invertIfNegative val="0"/>
          <c:cat>
            <c:strRef>
              <c:f>'15-ASE'!$C$11:$C$16</c:f>
              <c:strCache>
                <c:ptCount val="6"/>
                <c:pt idx="0">
                  <c:v>5º</c:v>
                </c:pt>
                <c:pt idx="1">
                  <c:v>6º</c:v>
                </c:pt>
                <c:pt idx="2">
                  <c:v>7º</c:v>
                </c:pt>
                <c:pt idx="3">
                  <c:v>8º</c:v>
                </c:pt>
                <c:pt idx="4">
                  <c:v>9º</c:v>
                </c:pt>
                <c:pt idx="5">
                  <c:v>CEF</c:v>
                </c:pt>
              </c:strCache>
            </c:strRef>
          </c:cat>
          <c:val>
            <c:numRef>
              <c:f>('15-ASE'!$E$11,'15-ASE'!$E$12,'15-ASE'!$E$13,'15-ASE'!$E$14,'15-ASE'!$E$15,'15-ASE'!$E$16)</c:f>
              <c:numCache>
                <c:formatCode>General</c:formatCode>
                <c:ptCount val="6"/>
                <c:pt idx="0">
                  <c:v>71</c:v>
                </c:pt>
                <c:pt idx="1">
                  <c:v>64</c:v>
                </c:pt>
                <c:pt idx="2">
                  <c:v>85</c:v>
                </c:pt>
                <c:pt idx="3">
                  <c:v>51</c:v>
                </c:pt>
                <c:pt idx="4">
                  <c:v>39</c:v>
                </c:pt>
                <c:pt idx="5">
                  <c:v>13</c:v>
                </c:pt>
              </c:numCache>
            </c:numRef>
          </c:val>
        </c:ser>
        <c:dLbls>
          <c:showLegendKey val="0"/>
          <c:showVal val="0"/>
          <c:showCatName val="0"/>
          <c:showSerName val="0"/>
          <c:showPercent val="0"/>
          <c:showBubbleSize val="0"/>
        </c:dLbls>
        <c:gapWidth val="150"/>
        <c:axId val="171542528"/>
        <c:axId val="165736384"/>
      </c:barChart>
      <c:catAx>
        <c:axId val="171542528"/>
        <c:scaling>
          <c:orientation val="minMax"/>
        </c:scaling>
        <c:delete val="0"/>
        <c:axPos val="b"/>
        <c:majorTickMark val="out"/>
        <c:minorTickMark val="none"/>
        <c:tickLblPos val="nextTo"/>
        <c:crossAx val="165736384"/>
        <c:crosses val="autoZero"/>
        <c:auto val="1"/>
        <c:lblAlgn val="ctr"/>
        <c:lblOffset val="100"/>
        <c:noMultiLvlLbl val="0"/>
      </c:catAx>
      <c:valAx>
        <c:axId val="165736384"/>
        <c:scaling>
          <c:orientation val="minMax"/>
        </c:scaling>
        <c:delete val="0"/>
        <c:axPos val="l"/>
        <c:majorGridlines/>
        <c:numFmt formatCode="General" sourceLinked="1"/>
        <c:majorTickMark val="out"/>
        <c:minorTickMark val="none"/>
        <c:tickLblPos val="nextTo"/>
        <c:crossAx val="171542528"/>
        <c:crosses val="autoZero"/>
        <c:crossBetween val="between"/>
      </c:valAx>
    </c:plotArea>
    <c:legend>
      <c:legendPos val="r"/>
      <c:overlay val="0"/>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1200"/>
              <a:t>ALUNOS COM ASE QUE NÃO TRANSITARAM</a:t>
            </a:r>
          </a:p>
        </c:rich>
      </c:tx>
      <c:overlay val="0"/>
    </c:title>
    <c:autoTitleDeleted val="0"/>
    <c:plotArea>
      <c:layout>
        <c:manualLayout>
          <c:layoutTarget val="inner"/>
          <c:xMode val="edge"/>
          <c:yMode val="edge"/>
          <c:x val="8.4682852143483034E-2"/>
          <c:y val="0.18403944298629518"/>
          <c:w val="0.5281657917760243"/>
          <c:h val="0.68873432487605657"/>
        </c:manualLayout>
      </c:layout>
      <c:barChart>
        <c:barDir val="col"/>
        <c:grouping val="clustered"/>
        <c:varyColors val="0"/>
        <c:ser>
          <c:idx val="0"/>
          <c:order val="0"/>
          <c:tx>
            <c:strRef>
              <c:f>'15-ASE'!$E$10</c:f>
              <c:strCache>
                <c:ptCount val="1"/>
                <c:pt idx="0">
                  <c:v>Total de Alunos com ASE</c:v>
                </c:pt>
              </c:strCache>
            </c:strRef>
          </c:tx>
          <c:invertIfNegative val="0"/>
          <c:cat>
            <c:strRef>
              <c:f>'15-ASE'!$C$11:$C$17</c:f>
              <c:strCache>
                <c:ptCount val="7"/>
                <c:pt idx="0">
                  <c:v>5º</c:v>
                </c:pt>
                <c:pt idx="1">
                  <c:v>6º</c:v>
                </c:pt>
                <c:pt idx="2">
                  <c:v>7º</c:v>
                </c:pt>
                <c:pt idx="3">
                  <c:v>8º</c:v>
                </c:pt>
                <c:pt idx="4">
                  <c:v>9º</c:v>
                </c:pt>
                <c:pt idx="5">
                  <c:v>CEF</c:v>
                </c:pt>
                <c:pt idx="6">
                  <c:v>TOTAL</c:v>
                </c:pt>
              </c:strCache>
            </c:strRef>
          </c:cat>
          <c:val>
            <c:numRef>
              <c:f>('15-ASE'!$E$11,'15-ASE'!$E$12,'15-ASE'!$E$13,'15-ASE'!$E$14,'15-ASE'!$E$15,'15-ASE'!$E$16,'15-ASE'!$E$17)</c:f>
              <c:numCache>
                <c:formatCode>General</c:formatCode>
                <c:ptCount val="7"/>
                <c:pt idx="0">
                  <c:v>71</c:v>
                </c:pt>
                <c:pt idx="1">
                  <c:v>64</c:v>
                </c:pt>
                <c:pt idx="2">
                  <c:v>85</c:v>
                </c:pt>
                <c:pt idx="3">
                  <c:v>51</c:v>
                </c:pt>
                <c:pt idx="4">
                  <c:v>39</c:v>
                </c:pt>
                <c:pt idx="5">
                  <c:v>13</c:v>
                </c:pt>
                <c:pt idx="6">
                  <c:v>310</c:v>
                </c:pt>
              </c:numCache>
            </c:numRef>
          </c:val>
        </c:ser>
        <c:ser>
          <c:idx val="1"/>
          <c:order val="1"/>
          <c:tx>
            <c:strRef>
              <c:f>'15-ASE'!$F$10</c:f>
              <c:strCache>
                <c:ptCount val="1"/>
                <c:pt idx="0">
                  <c:v>Alunos com ASE que não transitaram</c:v>
                </c:pt>
              </c:strCache>
            </c:strRef>
          </c:tx>
          <c:invertIfNegative val="0"/>
          <c:cat>
            <c:strRef>
              <c:f>'15-ASE'!$C$11:$C$17</c:f>
              <c:strCache>
                <c:ptCount val="7"/>
                <c:pt idx="0">
                  <c:v>5º</c:v>
                </c:pt>
                <c:pt idx="1">
                  <c:v>6º</c:v>
                </c:pt>
                <c:pt idx="2">
                  <c:v>7º</c:v>
                </c:pt>
                <c:pt idx="3">
                  <c:v>8º</c:v>
                </c:pt>
                <c:pt idx="4">
                  <c:v>9º</c:v>
                </c:pt>
                <c:pt idx="5">
                  <c:v>CEF</c:v>
                </c:pt>
                <c:pt idx="6">
                  <c:v>TOTAL</c:v>
                </c:pt>
              </c:strCache>
            </c:strRef>
          </c:cat>
          <c:val>
            <c:numRef>
              <c:f>('15-ASE'!$F$11,'15-ASE'!$F$12,'15-ASE'!$F$13,'15-ASE'!$F$14,'15-ASE'!$F$15,'15-ASE'!$F$16,'15-ASE'!$F$17)</c:f>
              <c:numCache>
                <c:formatCode>General</c:formatCode>
                <c:ptCount val="7"/>
                <c:pt idx="0">
                  <c:v>17</c:v>
                </c:pt>
                <c:pt idx="1">
                  <c:v>6</c:v>
                </c:pt>
                <c:pt idx="2">
                  <c:v>35</c:v>
                </c:pt>
                <c:pt idx="3">
                  <c:v>9</c:v>
                </c:pt>
                <c:pt idx="4">
                  <c:v>4</c:v>
                </c:pt>
                <c:pt idx="5">
                  <c:v>1</c:v>
                </c:pt>
                <c:pt idx="6">
                  <c:v>71</c:v>
                </c:pt>
              </c:numCache>
            </c:numRef>
          </c:val>
        </c:ser>
        <c:dLbls>
          <c:showLegendKey val="0"/>
          <c:showVal val="0"/>
          <c:showCatName val="0"/>
          <c:showSerName val="0"/>
          <c:showPercent val="0"/>
          <c:showBubbleSize val="0"/>
        </c:dLbls>
        <c:gapWidth val="150"/>
        <c:axId val="171544064"/>
        <c:axId val="165738688"/>
      </c:barChart>
      <c:catAx>
        <c:axId val="171544064"/>
        <c:scaling>
          <c:orientation val="minMax"/>
        </c:scaling>
        <c:delete val="0"/>
        <c:axPos val="b"/>
        <c:numFmt formatCode="General" sourceLinked="1"/>
        <c:majorTickMark val="out"/>
        <c:minorTickMark val="none"/>
        <c:tickLblPos val="nextTo"/>
        <c:crossAx val="165738688"/>
        <c:crosses val="autoZero"/>
        <c:auto val="1"/>
        <c:lblAlgn val="ctr"/>
        <c:lblOffset val="100"/>
        <c:noMultiLvlLbl val="0"/>
      </c:catAx>
      <c:valAx>
        <c:axId val="165738688"/>
        <c:scaling>
          <c:orientation val="minMax"/>
        </c:scaling>
        <c:delete val="0"/>
        <c:axPos val="l"/>
        <c:majorGridlines/>
        <c:numFmt formatCode="General" sourceLinked="1"/>
        <c:majorTickMark val="out"/>
        <c:minorTickMark val="none"/>
        <c:tickLblPos val="nextTo"/>
        <c:crossAx val="171544064"/>
        <c:crosses val="autoZero"/>
        <c:crossBetween val="between"/>
      </c:valAx>
    </c:plotArea>
    <c:legend>
      <c:legendPos val="r"/>
      <c:overlay val="0"/>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1200" baseline="0"/>
              <a:t>COMPARAÇÃO DE ALUNOS </a:t>
            </a:r>
            <a:r>
              <a:rPr lang="pt-PT" sz="1200" u="sng" baseline="0"/>
              <a:t>COM ASE</a:t>
            </a:r>
            <a:r>
              <a:rPr lang="pt-PT" sz="1200" u="none" baseline="0"/>
              <a:t> </a:t>
            </a:r>
            <a:r>
              <a:rPr lang="pt-PT" sz="1200" baseline="0"/>
              <a:t>E </a:t>
            </a:r>
            <a:r>
              <a:rPr lang="pt-PT" sz="1200" u="sng" baseline="0"/>
              <a:t>SEM ASE</a:t>
            </a:r>
            <a:r>
              <a:rPr lang="pt-PT" sz="1200" u="none" baseline="0"/>
              <a:t> QUE NÃO TRANSITARAM</a:t>
            </a:r>
            <a:endParaRPr lang="pt-PT" sz="1200" u="sng" baseline="0"/>
          </a:p>
        </c:rich>
      </c:tx>
      <c:layout>
        <c:manualLayout>
          <c:xMode val="edge"/>
          <c:yMode val="edge"/>
          <c:x val="0.11723958333333342"/>
          <c:y val="0"/>
        </c:manualLayout>
      </c:layout>
      <c:overlay val="0"/>
    </c:title>
    <c:autoTitleDeleted val="0"/>
    <c:plotArea>
      <c:layout>
        <c:manualLayout>
          <c:layoutTarget val="inner"/>
          <c:xMode val="edge"/>
          <c:yMode val="edge"/>
          <c:x val="0.15353018372703564"/>
          <c:y val="0.21576099283885841"/>
          <c:w val="0.52311001749781272"/>
          <c:h val="0.61899132400116663"/>
        </c:manualLayout>
      </c:layout>
      <c:barChart>
        <c:barDir val="col"/>
        <c:grouping val="clustered"/>
        <c:varyColors val="0"/>
        <c:ser>
          <c:idx val="0"/>
          <c:order val="0"/>
          <c:tx>
            <c:strRef>
              <c:f>'15-ASE'!$G$10</c:f>
              <c:strCache>
                <c:ptCount val="1"/>
                <c:pt idx="0">
                  <c:v>Percentagem de alunos com ASE que não transitaram</c:v>
                </c:pt>
              </c:strCache>
            </c:strRef>
          </c:tx>
          <c:invertIfNegative val="0"/>
          <c:cat>
            <c:strRef>
              <c:f>'15-ASE'!$C$11:$C$17</c:f>
              <c:strCache>
                <c:ptCount val="7"/>
                <c:pt idx="0">
                  <c:v>5º</c:v>
                </c:pt>
                <c:pt idx="1">
                  <c:v>6º</c:v>
                </c:pt>
                <c:pt idx="2">
                  <c:v>7º</c:v>
                </c:pt>
                <c:pt idx="3">
                  <c:v>8º</c:v>
                </c:pt>
                <c:pt idx="4">
                  <c:v>9º</c:v>
                </c:pt>
                <c:pt idx="5">
                  <c:v>CEF</c:v>
                </c:pt>
                <c:pt idx="6">
                  <c:v>TOTAL</c:v>
                </c:pt>
              </c:strCache>
            </c:strRef>
          </c:cat>
          <c:val>
            <c:numRef>
              <c:f>('15-ASE'!$G$11,'15-ASE'!$G$12,'15-ASE'!$G$13,'15-ASE'!$G$14,'15-ASE'!$G$15,'15-ASE'!$G$16,'15-ASE'!$G$17)</c:f>
              <c:numCache>
                <c:formatCode>0.00%</c:formatCode>
                <c:ptCount val="7"/>
                <c:pt idx="0">
                  <c:v>0.23943661971830985</c:v>
                </c:pt>
                <c:pt idx="1">
                  <c:v>9.375E-2</c:v>
                </c:pt>
                <c:pt idx="2">
                  <c:v>0.41176470588235292</c:v>
                </c:pt>
                <c:pt idx="3">
                  <c:v>0.17647058823529413</c:v>
                </c:pt>
                <c:pt idx="4">
                  <c:v>0.10256410256410256</c:v>
                </c:pt>
                <c:pt idx="5">
                  <c:v>7.6923076923076927E-2</c:v>
                </c:pt>
                <c:pt idx="6">
                  <c:v>0.22903225806451613</c:v>
                </c:pt>
              </c:numCache>
            </c:numRef>
          </c:val>
        </c:ser>
        <c:ser>
          <c:idx val="1"/>
          <c:order val="1"/>
          <c:tx>
            <c:strRef>
              <c:f>'15-ASE'!$I$10</c:f>
              <c:strCache>
                <c:ptCount val="1"/>
                <c:pt idx="0">
                  <c:v>Percentagem de alunos sem ASE que não transitaram</c:v>
                </c:pt>
              </c:strCache>
            </c:strRef>
          </c:tx>
          <c:invertIfNegative val="0"/>
          <c:cat>
            <c:strRef>
              <c:f>'15-ASE'!$C$11:$C$17</c:f>
              <c:strCache>
                <c:ptCount val="7"/>
                <c:pt idx="0">
                  <c:v>5º</c:v>
                </c:pt>
                <c:pt idx="1">
                  <c:v>6º</c:v>
                </c:pt>
                <c:pt idx="2">
                  <c:v>7º</c:v>
                </c:pt>
                <c:pt idx="3">
                  <c:v>8º</c:v>
                </c:pt>
                <c:pt idx="4">
                  <c:v>9º</c:v>
                </c:pt>
                <c:pt idx="5">
                  <c:v>CEF</c:v>
                </c:pt>
                <c:pt idx="6">
                  <c:v>TOTAL</c:v>
                </c:pt>
              </c:strCache>
            </c:strRef>
          </c:cat>
          <c:val>
            <c:numRef>
              <c:f>('15-ASE'!$I$11,'15-ASE'!$I$12,'15-ASE'!$I$13,'15-ASE'!$I$14,'15-ASE'!$I$15,'15-ASE'!$I$16,'15-ASE'!$I$17)</c:f>
              <c:numCache>
                <c:formatCode>0.00%</c:formatCode>
                <c:ptCount val="7"/>
                <c:pt idx="0">
                  <c:v>0.15625</c:v>
                </c:pt>
                <c:pt idx="1">
                  <c:v>0.19047619047619047</c:v>
                </c:pt>
                <c:pt idx="2">
                  <c:v>0.31168831168831168</c:v>
                </c:pt>
                <c:pt idx="3">
                  <c:v>8.6956521739130432E-2</c:v>
                </c:pt>
                <c:pt idx="4">
                  <c:v>0</c:v>
                </c:pt>
                <c:pt idx="5">
                  <c:v>0</c:v>
                </c:pt>
                <c:pt idx="6">
                  <c:v>0.14772727272727273</c:v>
                </c:pt>
              </c:numCache>
            </c:numRef>
          </c:val>
        </c:ser>
        <c:dLbls>
          <c:showLegendKey val="0"/>
          <c:showVal val="0"/>
          <c:showCatName val="0"/>
          <c:showSerName val="0"/>
          <c:showPercent val="0"/>
          <c:showBubbleSize val="0"/>
        </c:dLbls>
        <c:gapWidth val="150"/>
        <c:axId val="174338048"/>
        <c:axId val="168043072"/>
      </c:barChart>
      <c:catAx>
        <c:axId val="174338048"/>
        <c:scaling>
          <c:orientation val="minMax"/>
        </c:scaling>
        <c:delete val="0"/>
        <c:axPos val="b"/>
        <c:majorTickMark val="out"/>
        <c:minorTickMark val="none"/>
        <c:tickLblPos val="nextTo"/>
        <c:crossAx val="168043072"/>
        <c:crosses val="autoZero"/>
        <c:auto val="1"/>
        <c:lblAlgn val="ctr"/>
        <c:lblOffset val="100"/>
        <c:noMultiLvlLbl val="0"/>
      </c:catAx>
      <c:valAx>
        <c:axId val="168043072"/>
        <c:scaling>
          <c:orientation val="minMax"/>
          <c:max val="1"/>
        </c:scaling>
        <c:delete val="0"/>
        <c:axPos val="l"/>
        <c:majorGridlines/>
        <c:numFmt formatCode="0%" sourceLinked="0"/>
        <c:majorTickMark val="out"/>
        <c:minorTickMark val="none"/>
        <c:tickLblPos val="nextTo"/>
        <c:crossAx val="174338048"/>
        <c:crosses val="autoZero"/>
        <c:crossBetween val="between"/>
        <c:majorUnit val="0.2"/>
      </c:valAx>
    </c:plotArea>
    <c:legend>
      <c:legendPos val="r"/>
      <c:layout>
        <c:manualLayout>
          <c:xMode val="edge"/>
          <c:yMode val="edge"/>
          <c:x val="0.70080578504978264"/>
          <c:y val="0.3353038894829542"/>
          <c:w val="0.29919421495021742"/>
          <c:h val="0.47271317658719225"/>
        </c:manualLayout>
      </c:layout>
      <c:overlay val="0"/>
      <c:txPr>
        <a:bodyPr/>
        <a:lstStyle/>
        <a:p>
          <a:pPr>
            <a:defRPr sz="1100"/>
          </a:pPr>
          <a:endParaRPr lang="pt-PT"/>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spPr>
            <a:solidFill>
              <a:srgbClr val="00FF00"/>
            </a:solidFill>
          </c:spPr>
          <c:invertIfNegative val="0"/>
          <c:cat>
            <c:strRef>
              <c:f>'16-ALUNOS ESTRANGEIROS'!$C$9:$C$15</c:f>
              <c:strCache>
                <c:ptCount val="7"/>
                <c:pt idx="0">
                  <c:v>5º</c:v>
                </c:pt>
                <c:pt idx="1">
                  <c:v>6º</c:v>
                </c:pt>
                <c:pt idx="2">
                  <c:v>7º</c:v>
                </c:pt>
                <c:pt idx="3">
                  <c:v>8º</c:v>
                </c:pt>
                <c:pt idx="4">
                  <c:v>9º</c:v>
                </c:pt>
                <c:pt idx="5">
                  <c:v>CEF</c:v>
                </c:pt>
                <c:pt idx="6">
                  <c:v>TOTAL</c:v>
                </c:pt>
              </c:strCache>
            </c:strRef>
          </c:cat>
          <c:val>
            <c:numRef>
              <c:f>'16-ALUNOS ESTRANGEIROS'!$G$9:$G$15</c:f>
              <c:numCache>
                <c:formatCode>0.00%</c:formatCode>
                <c:ptCount val="7"/>
                <c:pt idx="0">
                  <c:v>0.92307692307692313</c:v>
                </c:pt>
                <c:pt idx="1">
                  <c:v>0.45454545454545453</c:v>
                </c:pt>
                <c:pt idx="2">
                  <c:v>0.20833333333333334</c:v>
                </c:pt>
                <c:pt idx="3">
                  <c:v>0.55555555555555558</c:v>
                </c:pt>
                <c:pt idx="4">
                  <c:v>0</c:v>
                </c:pt>
                <c:pt idx="5">
                  <c:v>0</c:v>
                </c:pt>
                <c:pt idx="6">
                  <c:v>0.40909090909090912</c:v>
                </c:pt>
              </c:numCache>
            </c:numRef>
          </c:val>
        </c:ser>
        <c:dLbls>
          <c:showLegendKey val="0"/>
          <c:showVal val="0"/>
          <c:showCatName val="0"/>
          <c:showSerName val="0"/>
          <c:showPercent val="0"/>
          <c:showBubbleSize val="0"/>
        </c:dLbls>
        <c:gapWidth val="150"/>
        <c:shape val="box"/>
        <c:axId val="174340096"/>
        <c:axId val="168045376"/>
        <c:axId val="0"/>
      </c:bar3DChart>
      <c:catAx>
        <c:axId val="174340096"/>
        <c:scaling>
          <c:orientation val="minMax"/>
        </c:scaling>
        <c:delete val="0"/>
        <c:axPos val="b"/>
        <c:majorTickMark val="out"/>
        <c:minorTickMark val="none"/>
        <c:tickLblPos val="nextTo"/>
        <c:crossAx val="168045376"/>
        <c:crosses val="autoZero"/>
        <c:auto val="1"/>
        <c:lblAlgn val="ctr"/>
        <c:lblOffset val="100"/>
        <c:noMultiLvlLbl val="0"/>
      </c:catAx>
      <c:valAx>
        <c:axId val="168045376"/>
        <c:scaling>
          <c:orientation val="minMax"/>
        </c:scaling>
        <c:delete val="0"/>
        <c:axPos val="l"/>
        <c:majorGridlines/>
        <c:numFmt formatCode="0%" sourceLinked="0"/>
        <c:majorTickMark val="out"/>
        <c:minorTickMark val="none"/>
        <c:tickLblPos val="nextTo"/>
        <c:crossAx val="174340096"/>
        <c:crosses val="autoZero"/>
        <c:crossBetween val="between"/>
        <c:majorUnit val="0.2"/>
      </c:valAx>
    </c:plotArea>
    <c:plotVisOnly val="1"/>
    <c:dispBlanksAs val="gap"/>
    <c:showDLblsOverMax val="0"/>
  </c:chart>
  <c:spPr>
    <a:ln>
      <a:noFill/>
    </a:ln>
  </c:spPr>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200" b="1" i="0" u="none" strike="noStrike" baseline="0">
                <a:solidFill>
                  <a:srgbClr val="000000"/>
                </a:solidFill>
                <a:latin typeface="Arial"/>
                <a:ea typeface="Arial"/>
                <a:cs typeface="Arial"/>
              </a:defRPr>
            </a:pPr>
            <a:r>
              <a:rPr lang="pt-PT" sz="1200" b="0"/>
              <a:t>PROGRESSÃO</a:t>
            </a:r>
            <a:r>
              <a:rPr lang="pt-PT" sz="1200"/>
              <a:t> SEM </a:t>
            </a:r>
            <a:r>
              <a:rPr lang="pt-PT" sz="1200" b="0"/>
              <a:t>APROVEITAMENTO A</a:t>
            </a:r>
          </a:p>
          <a:p>
            <a:pPr algn="ctr">
              <a:defRPr sz="1200" b="1" i="0" u="none" strike="noStrike" baseline="0">
                <a:solidFill>
                  <a:srgbClr val="000000"/>
                </a:solidFill>
                <a:latin typeface="Arial"/>
                <a:ea typeface="Arial"/>
                <a:cs typeface="Arial"/>
              </a:defRPr>
            </a:pPr>
            <a:r>
              <a:rPr lang="pt-PT" sz="1200"/>
              <a:t> </a:t>
            </a:r>
          </a:p>
          <a:p>
            <a:pPr algn="ctr">
              <a:defRPr sz="1200" b="1" i="0" u="none" strike="noStrike" baseline="0">
                <a:solidFill>
                  <a:srgbClr val="000000"/>
                </a:solidFill>
                <a:latin typeface="Arial"/>
                <a:ea typeface="Arial"/>
                <a:cs typeface="Arial"/>
              </a:defRPr>
            </a:pPr>
            <a:r>
              <a:rPr lang="pt-PT" sz="1200"/>
              <a:t>LÍNGUA PORTUGUESA  E/OU MATEMÁTICA</a:t>
            </a:r>
          </a:p>
        </c:rich>
      </c:tx>
      <c:layout>
        <c:manualLayout>
          <c:xMode val="edge"/>
          <c:yMode val="edge"/>
          <c:x val="0.31333063291806335"/>
          <c:y val="3.8790151231095985E-2"/>
        </c:manualLayout>
      </c:layout>
      <c:overlay val="0"/>
      <c:spPr>
        <a:noFill/>
        <a:ln w="25400">
          <a:noFill/>
        </a:ln>
      </c:spPr>
    </c:title>
    <c:autoTitleDeleted val="0"/>
    <c:plotArea>
      <c:layout>
        <c:manualLayout>
          <c:layoutTarget val="inner"/>
          <c:xMode val="edge"/>
          <c:yMode val="edge"/>
          <c:x val="0.10857476221562873"/>
          <c:y val="0.2521877036890422"/>
          <c:w val="0.70851470693923957"/>
          <c:h val="0.63414477515211631"/>
        </c:manualLayout>
      </c:layout>
      <c:barChart>
        <c:barDir val="col"/>
        <c:grouping val="clustered"/>
        <c:varyColors val="0"/>
        <c:ser>
          <c:idx val="0"/>
          <c:order val="0"/>
          <c:tx>
            <c:strRef>
              <c:f>Folha1!$B$20</c:f>
              <c:strCache>
                <c:ptCount val="1"/>
                <c:pt idx="0">
                  <c:v>L. P.</c:v>
                </c:pt>
              </c:strCache>
            </c:strRef>
          </c:tx>
          <c:spPr>
            <a:solidFill>
              <a:srgbClr val="3366FF"/>
            </a:solidFill>
            <a:ln w="12700">
              <a:solidFill>
                <a:srgbClr val="000000"/>
              </a:solidFill>
              <a:prstDash val="solid"/>
            </a:ln>
          </c:spPr>
          <c:invertIfNegative val="0"/>
          <c:cat>
            <c:strRef>
              <c:f>Folha1!$C$19:$H$19</c:f>
              <c:strCache>
                <c:ptCount val="6"/>
                <c:pt idx="0">
                  <c:v>5º ANO</c:v>
                </c:pt>
                <c:pt idx="1">
                  <c:v>6º ANO</c:v>
                </c:pt>
                <c:pt idx="2">
                  <c:v>7º ANO</c:v>
                </c:pt>
                <c:pt idx="3">
                  <c:v>8º ANO</c:v>
                </c:pt>
                <c:pt idx="4">
                  <c:v>9ºANO</c:v>
                </c:pt>
                <c:pt idx="5">
                  <c:v>TOTAL</c:v>
                </c:pt>
              </c:strCache>
            </c:strRef>
          </c:cat>
          <c:val>
            <c:numRef>
              <c:f>Folha1!$C$20:$H$20</c:f>
              <c:numCache>
                <c:formatCode>0.00%</c:formatCode>
                <c:ptCount val="6"/>
                <c:pt idx="0">
                  <c:v>7.5187969924812026E-2</c:v>
                </c:pt>
                <c:pt idx="1">
                  <c:v>0.10317460317460317</c:v>
                </c:pt>
                <c:pt idx="2">
                  <c:v>7.407407407407407E-2</c:v>
                </c:pt>
                <c:pt idx="3">
                  <c:v>0.30833333333333335</c:v>
                </c:pt>
                <c:pt idx="4">
                  <c:v>2.5423728813559324E-2</c:v>
                </c:pt>
                <c:pt idx="5">
                  <c:v>0.11380880121396054</c:v>
                </c:pt>
              </c:numCache>
            </c:numRef>
          </c:val>
        </c:ser>
        <c:ser>
          <c:idx val="1"/>
          <c:order val="1"/>
          <c:tx>
            <c:strRef>
              <c:f>Folha1!$B$21</c:f>
              <c:strCache>
                <c:ptCount val="1"/>
                <c:pt idx="0">
                  <c:v>MAT.</c:v>
                </c:pt>
              </c:strCache>
            </c:strRef>
          </c:tx>
          <c:spPr>
            <a:solidFill>
              <a:srgbClr val="FF0000"/>
            </a:solidFill>
            <a:ln w="12700">
              <a:solidFill>
                <a:srgbClr val="000000"/>
              </a:solidFill>
              <a:prstDash val="solid"/>
            </a:ln>
          </c:spPr>
          <c:invertIfNegative val="0"/>
          <c:cat>
            <c:strRef>
              <c:f>Folha1!$C$19:$H$19</c:f>
              <c:strCache>
                <c:ptCount val="6"/>
                <c:pt idx="0">
                  <c:v>5º ANO</c:v>
                </c:pt>
                <c:pt idx="1">
                  <c:v>6º ANO</c:v>
                </c:pt>
                <c:pt idx="2">
                  <c:v>7º ANO</c:v>
                </c:pt>
                <c:pt idx="3">
                  <c:v>8º ANO</c:v>
                </c:pt>
                <c:pt idx="4">
                  <c:v>9ºANO</c:v>
                </c:pt>
                <c:pt idx="5">
                  <c:v>TOTAL</c:v>
                </c:pt>
              </c:strCache>
            </c:strRef>
          </c:cat>
          <c:val>
            <c:numRef>
              <c:f>Folha1!$C$21:$H$21</c:f>
              <c:numCache>
                <c:formatCode>0.0%</c:formatCode>
                <c:ptCount val="6"/>
                <c:pt idx="0">
                  <c:v>0.15789473684210525</c:v>
                </c:pt>
                <c:pt idx="1">
                  <c:v>0.22222222222222221</c:v>
                </c:pt>
                <c:pt idx="2" formatCode="0.00%">
                  <c:v>9.2592592592592587E-2</c:v>
                </c:pt>
                <c:pt idx="3" formatCode="0.00%">
                  <c:v>8.3333333333333329E-2</c:v>
                </c:pt>
                <c:pt idx="4" formatCode="0.00%">
                  <c:v>0.1271186440677966</c:v>
                </c:pt>
                <c:pt idx="5" formatCode="0.00%">
                  <c:v>0.13505311077389984</c:v>
                </c:pt>
              </c:numCache>
            </c:numRef>
          </c:val>
        </c:ser>
        <c:ser>
          <c:idx val="2"/>
          <c:order val="2"/>
          <c:tx>
            <c:strRef>
              <c:f>Folha1!$B$22</c:f>
              <c:strCache>
                <c:ptCount val="1"/>
                <c:pt idx="0">
                  <c:v>L. P. E MAT.</c:v>
                </c:pt>
              </c:strCache>
            </c:strRef>
          </c:tx>
          <c:spPr>
            <a:solidFill>
              <a:srgbClr val="FFFF00"/>
            </a:solidFill>
            <a:ln w="12700">
              <a:solidFill>
                <a:srgbClr val="000000"/>
              </a:solidFill>
              <a:prstDash val="solid"/>
            </a:ln>
          </c:spPr>
          <c:invertIfNegative val="0"/>
          <c:cat>
            <c:strRef>
              <c:f>Folha1!$C$19:$H$19</c:f>
              <c:strCache>
                <c:ptCount val="6"/>
                <c:pt idx="0">
                  <c:v>5º ANO</c:v>
                </c:pt>
                <c:pt idx="1">
                  <c:v>6º ANO</c:v>
                </c:pt>
                <c:pt idx="2">
                  <c:v>7º ANO</c:v>
                </c:pt>
                <c:pt idx="3">
                  <c:v>8º ANO</c:v>
                </c:pt>
                <c:pt idx="4">
                  <c:v>9ºANO</c:v>
                </c:pt>
                <c:pt idx="5">
                  <c:v>TOTAL</c:v>
                </c:pt>
              </c:strCache>
            </c:strRef>
          </c:cat>
          <c:val>
            <c:numRef>
              <c:f>Folha1!$C$22:$H$22</c:f>
              <c:numCache>
                <c:formatCode>0.0%</c:formatCode>
                <c:ptCount val="6"/>
                <c:pt idx="0">
                  <c:v>1.5037593984962405E-2</c:v>
                </c:pt>
                <c:pt idx="1">
                  <c:v>7.1428571428571425E-2</c:v>
                </c:pt>
                <c:pt idx="2" formatCode="0.00%">
                  <c:v>3.0864197530864196E-2</c:v>
                </c:pt>
                <c:pt idx="3" formatCode="0.00%">
                  <c:v>9.166666666666666E-2</c:v>
                </c:pt>
                <c:pt idx="4" formatCode="0.00%">
                  <c:v>0</c:v>
                </c:pt>
                <c:pt idx="5" formatCode="0.00%">
                  <c:v>4.09711684370258E-2</c:v>
                </c:pt>
              </c:numCache>
            </c:numRef>
          </c:val>
        </c:ser>
        <c:dLbls>
          <c:showLegendKey val="0"/>
          <c:showVal val="0"/>
          <c:showCatName val="0"/>
          <c:showSerName val="0"/>
          <c:showPercent val="0"/>
          <c:showBubbleSize val="0"/>
        </c:dLbls>
        <c:gapWidth val="150"/>
        <c:axId val="101511168"/>
        <c:axId val="113355584"/>
      </c:barChart>
      <c:catAx>
        <c:axId val="10151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pt-PT"/>
          </a:p>
        </c:txPr>
        <c:crossAx val="113355584"/>
        <c:crosses val="autoZero"/>
        <c:auto val="1"/>
        <c:lblAlgn val="ctr"/>
        <c:lblOffset val="100"/>
        <c:tickLblSkip val="1"/>
        <c:tickMarkSkip val="1"/>
        <c:noMultiLvlLbl val="0"/>
      </c:catAx>
      <c:valAx>
        <c:axId val="113355584"/>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pt-PT"/>
          </a:p>
        </c:txPr>
        <c:crossAx val="101511168"/>
        <c:crosses val="autoZero"/>
        <c:crossBetween val="between"/>
        <c:majorUnit val="0.2"/>
      </c:valAx>
      <c:spPr>
        <a:noFill/>
        <a:ln w="12700">
          <a:solidFill>
            <a:srgbClr val="808080"/>
          </a:solidFill>
          <a:prstDash val="solid"/>
        </a:ln>
      </c:spPr>
    </c:plotArea>
    <c:legend>
      <c:legendPos val="r"/>
      <c:layout>
        <c:manualLayout>
          <c:xMode val="edge"/>
          <c:yMode val="edge"/>
          <c:x val="0.84415703372597872"/>
          <c:y val="0.46084337349397592"/>
          <c:w val="0.14574335112192363"/>
          <c:h val="0.20481927710843478"/>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'16-ALUNOS ESTRANGEIROS'!$E$28</c:f>
              <c:strCache>
                <c:ptCount val="1"/>
                <c:pt idx="0">
                  <c:v>Percentagem de alunos apoiados com sucesso</c:v>
                </c:pt>
              </c:strCache>
            </c:strRef>
          </c:tx>
          <c:spPr>
            <a:solidFill>
              <a:srgbClr val="00FF00"/>
            </a:solidFill>
          </c:spPr>
          <c:invertIfNegative val="0"/>
          <c:cat>
            <c:strRef>
              <c:f>'16-ALUNOS ESTRANGEIROS'!$B$29:$B$35</c:f>
              <c:strCache>
                <c:ptCount val="7"/>
                <c:pt idx="0">
                  <c:v>5º</c:v>
                </c:pt>
                <c:pt idx="1">
                  <c:v>6º</c:v>
                </c:pt>
                <c:pt idx="2">
                  <c:v>7º</c:v>
                </c:pt>
                <c:pt idx="3">
                  <c:v>8º</c:v>
                </c:pt>
                <c:pt idx="4">
                  <c:v>9º</c:v>
                </c:pt>
                <c:pt idx="5">
                  <c:v>CEF</c:v>
                </c:pt>
                <c:pt idx="6">
                  <c:v>TOTAL</c:v>
                </c:pt>
              </c:strCache>
            </c:strRef>
          </c:cat>
          <c:val>
            <c:numRef>
              <c:f>'16-ALUNOS ESTRANGEIROS'!$E$29:$E$35</c:f>
              <c:numCache>
                <c:formatCode>0.00%</c:formatCode>
                <c:ptCount val="7"/>
                <c:pt idx="0">
                  <c:v>0.58333333333333337</c:v>
                </c:pt>
                <c:pt idx="1">
                  <c:v>0.4</c:v>
                </c:pt>
                <c:pt idx="2">
                  <c:v>0.2</c:v>
                </c:pt>
                <c:pt idx="3">
                  <c:v>0.6</c:v>
                </c:pt>
                <c:pt idx="4" formatCode="General">
                  <c:v>0</c:v>
                </c:pt>
                <c:pt idx="5" formatCode="General">
                  <c:v>0</c:v>
                </c:pt>
                <c:pt idx="6">
                  <c:v>0.48148148148148145</c:v>
                </c:pt>
              </c:numCache>
            </c:numRef>
          </c:val>
        </c:ser>
        <c:ser>
          <c:idx val="1"/>
          <c:order val="1"/>
          <c:tx>
            <c:strRef>
              <c:f>'16-ALUNOS ESTRANGEIROS'!$G$28</c:f>
              <c:strCache>
                <c:ptCount val="1"/>
                <c:pt idx="0">
                  <c:v>Percentagem de alunos não apoiados com sucesso</c:v>
                </c:pt>
              </c:strCache>
            </c:strRef>
          </c:tx>
          <c:spPr>
            <a:solidFill>
              <a:srgbClr val="FF0000"/>
            </a:solidFill>
          </c:spPr>
          <c:invertIfNegative val="0"/>
          <c:cat>
            <c:strRef>
              <c:f>'16-ALUNOS ESTRANGEIROS'!$B$29:$B$35</c:f>
              <c:strCache>
                <c:ptCount val="7"/>
                <c:pt idx="0">
                  <c:v>5º</c:v>
                </c:pt>
                <c:pt idx="1">
                  <c:v>6º</c:v>
                </c:pt>
                <c:pt idx="2">
                  <c:v>7º</c:v>
                </c:pt>
                <c:pt idx="3">
                  <c:v>8º</c:v>
                </c:pt>
                <c:pt idx="4">
                  <c:v>9º</c:v>
                </c:pt>
                <c:pt idx="5">
                  <c:v>CEF</c:v>
                </c:pt>
                <c:pt idx="6">
                  <c:v>TOTAL</c:v>
                </c:pt>
              </c:strCache>
            </c:strRef>
          </c:cat>
          <c:val>
            <c:numRef>
              <c:f>'16-ALUNOS ESTRANGEIROS'!$G$29:$G$35</c:f>
              <c:numCache>
                <c:formatCode>0.00%</c:formatCode>
                <c:ptCount val="7"/>
                <c:pt idx="0">
                  <c:v>1</c:v>
                </c:pt>
                <c:pt idx="1">
                  <c:v>1</c:v>
                </c:pt>
                <c:pt idx="2">
                  <c:v>0.73684210526315785</c:v>
                </c:pt>
                <c:pt idx="3">
                  <c:v>0.5</c:v>
                </c:pt>
                <c:pt idx="4">
                  <c:v>1</c:v>
                </c:pt>
                <c:pt idx="5">
                  <c:v>1</c:v>
                </c:pt>
                <c:pt idx="6">
                  <c:v>0.82051282051282048</c:v>
                </c:pt>
              </c:numCache>
            </c:numRef>
          </c:val>
        </c:ser>
        <c:dLbls>
          <c:showLegendKey val="0"/>
          <c:showVal val="0"/>
          <c:showCatName val="0"/>
          <c:showSerName val="0"/>
          <c:showPercent val="0"/>
          <c:showBubbleSize val="0"/>
        </c:dLbls>
        <c:gapWidth val="150"/>
        <c:shape val="box"/>
        <c:axId val="174341632"/>
        <c:axId val="168047104"/>
        <c:axId val="0"/>
      </c:bar3DChart>
      <c:catAx>
        <c:axId val="174341632"/>
        <c:scaling>
          <c:orientation val="minMax"/>
        </c:scaling>
        <c:delete val="0"/>
        <c:axPos val="b"/>
        <c:majorTickMark val="out"/>
        <c:minorTickMark val="none"/>
        <c:tickLblPos val="nextTo"/>
        <c:crossAx val="168047104"/>
        <c:crosses val="autoZero"/>
        <c:auto val="1"/>
        <c:lblAlgn val="ctr"/>
        <c:lblOffset val="100"/>
        <c:noMultiLvlLbl val="0"/>
      </c:catAx>
      <c:valAx>
        <c:axId val="168047104"/>
        <c:scaling>
          <c:orientation val="minMax"/>
        </c:scaling>
        <c:delete val="0"/>
        <c:axPos val="l"/>
        <c:majorGridlines/>
        <c:numFmt formatCode="0%" sourceLinked="0"/>
        <c:majorTickMark val="out"/>
        <c:minorTickMark val="none"/>
        <c:tickLblPos val="nextTo"/>
        <c:crossAx val="174341632"/>
        <c:crosses val="autoZero"/>
        <c:crossBetween val="between"/>
      </c:valAx>
    </c:plotArea>
    <c:legend>
      <c:legendPos val="r"/>
      <c:overlay val="0"/>
    </c:legend>
    <c:plotVisOnly val="1"/>
    <c:dispBlanksAs val="gap"/>
    <c:showDLblsOverMax val="0"/>
  </c:chart>
  <c:spPr>
    <a:ln>
      <a:noFill/>
    </a:ln>
  </c:spPr>
  <c:printSettings>
    <c:headerFooter/>
    <c:pageMargins b="0.75000000000000222" l="0.70000000000000062" r="0.70000000000000062" t="0.7500000000000022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'TRIÉNIO 1'!$G$3:$G$4</c:f>
              <c:strCache>
                <c:ptCount val="1"/>
                <c:pt idx="0">
                  <c:v>Ano Lectivo 2006/07</c:v>
                </c:pt>
              </c:strCache>
            </c:strRef>
          </c:tx>
          <c:spPr>
            <a:solidFill>
              <a:srgbClr val="FF0000"/>
            </a:solidFill>
          </c:spPr>
          <c:invertIfNegative val="0"/>
          <c:cat>
            <c:strRef>
              <c:f>'TRIÉNIO 1'!$F$5:$F$9</c:f>
              <c:strCache>
                <c:ptCount val="5"/>
                <c:pt idx="0">
                  <c:v>5º</c:v>
                </c:pt>
                <c:pt idx="1">
                  <c:v>6º</c:v>
                </c:pt>
                <c:pt idx="2">
                  <c:v>7º</c:v>
                </c:pt>
                <c:pt idx="3">
                  <c:v>8º</c:v>
                </c:pt>
                <c:pt idx="4">
                  <c:v>9º</c:v>
                </c:pt>
              </c:strCache>
            </c:strRef>
          </c:cat>
          <c:val>
            <c:numRef>
              <c:f>('TRIÉNIO 1'!$G$5,'TRIÉNIO 1'!$G$6,'TRIÉNIO 1'!$G$7,'TRIÉNIO 1'!$G$8,'TRIÉNIO 1'!$G$9)</c:f>
              <c:numCache>
                <c:formatCode>0.0%</c:formatCode>
                <c:ptCount val="5"/>
                <c:pt idx="0">
                  <c:v>0.2</c:v>
                </c:pt>
                <c:pt idx="1">
                  <c:v>0.17699999999999999</c:v>
                </c:pt>
                <c:pt idx="2">
                  <c:v>0.30299999999999999</c:v>
                </c:pt>
                <c:pt idx="3">
                  <c:v>0.26100000000000001</c:v>
                </c:pt>
                <c:pt idx="4">
                  <c:v>0.14399999999999999</c:v>
                </c:pt>
              </c:numCache>
            </c:numRef>
          </c:val>
        </c:ser>
        <c:ser>
          <c:idx val="1"/>
          <c:order val="1"/>
          <c:tx>
            <c:strRef>
              <c:f>'TRIÉNIO 1'!$H$3:$H$4</c:f>
              <c:strCache>
                <c:ptCount val="1"/>
                <c:pt idx="0">
                  <c:v>Ano Lectivo 2007/08</c:v>
                </c:pt>
              </c:strCache>
            </c:strRef>
          </c:tx>
          <c:spPr>
            <a:solidFill>
              <a:srgbClr val="00FF00"/>
            </a:solidFill>
          </c:spPr>
          <c:invertIfNegative val="0"/>
          <c:cat>
            <c:strRef>
              <c:f>'TRIÉNIO 1'!$F$5:$F$9</c:f>
              <c:strCache>
                <c:ptCount val="5"/>
                <c:pt idx="0">
                  <c:v>5º</c:v>
                </c:pt>
                <c:pt idx="1">
                  <c:v>6º</c:v>
                </c:pt>
                <c:pt idx="2">
                  <c:v>7º</c:v>
                </c:pt>
                <c:pt idx="3">
                  <c:v>8º</c:v>
                </c:pt>
                <c:pt idx="4">
                  <c:v>9º</c:v>
                </c:pt>
              </c:strCache>
            </c:strRef>
          </c:cat>
          <c:val>
            <c:numRef>
              <c:f>('TRIÉNIO 1'!$H$5,'TRIÉNIO 1'!$H$6,'TRIÉNIO 1'!$H$7,'TRIÉNIO 1'!$H$8,'TRIÉNIO 1'!$H$9)</c:f>
              <c:numCache>
                <c:formatCode>0.0%</c:formatCode>
                <c:ptCount val="5"/>
                <c:pt idx="0">
                  <c:v>0.20666666666666667</c:v>
                </c:pt>
                <c:pt idx="1">
                  <c:v>8.8757396449704137E-2</c:v>
                </c:pt>
                <c:pt idx="2">
                  <c:v>0.28658536585365851</c:v>
                </c:pt>
                <c:pt idx="3">
                  <c:v>0.104</c:v>
                </c:pt>
                <c:pt idx="4">
                  <c:v>7.0796460176991149E-2</c:v>
                </c:pt>
              </c:numCache>
            </c:numRef>
          </c:val>
        </c:ser>
        <c:ser>
          <c:idx val="2"/>
          <c:order val="2"/>
          <c:tx>
            <c:strRef>
              <c:f>'TRIÉNIO 1'!$I$3:$I$4</c:f>
              <c:strCache>
                <c:ptCount val="1"/>
                <c:pt idx="0">
                  <c:v>Ano Lectivo 2008/09</c:v>
                </c:pt>
              </c:strCache>
            </c:strRef>
          </c:tx>
          <c:spPr>
            <a:solidFill>
              <a:srgbClr val="00CCFF"/>
            </a:solidFill>
          </c:spPr>
          <c:invertIfNegative val="0"/>
          <c:cat>
            <c:strRef>
              <c:f>'TRIÉNIO 1'!$F$5:$F$9</c:f>
              <c:strCache>
                <c:ptCount val="5"/>
                <c:pt idx="0">
                  <c:v>5º</c:v>
                </c:pt>
                <c:pt idx="1">
                  <c:v>6º</c:v>
                </c:pt>
                <c:pt idx="2">
                  <c:v>7º</c:v>
                </c:pt>
                <c:pt idx="3">
                  <c:v>8º</c:v>
                </c:pt>
                <c:pt idx="4">
                  <c:v>9º</c:v>
                </c:pt>
              </c:strCache>
            </c:strRef>
          </c:cat>
          <c:val>
            <c:numRef>
              <c:f>('TRIÉNIO 1'!$I$5,'TRIÉNIO 1'!$I$6,'TRIÉNIO 1'!$I$7,'TRIÉNIO 1'!$I$8,'TRIÉNIO 1'!$I$9)</c:f>
              <c:numCache>
                <c:formatCode>0.0%</c:formatCode>
                <c:ptCount val="5"/>
                <c:pt idx="0">
                  <c:v>0.20300751879699247</c:v>
                </c:pt>
                <c:pt idx="1">
                  <c:v>0.14285714285714285</c:v>
                </c:pt>
                <c:pt idx="2">
                  <c:v>0.36419753086419754</c:v>
                </c:pt>
                <c:pt idx="3">
                  <c:v>0.125</c:v>
                </c:pt>
                <c:pt idx="4">
                  <c:v>0.17796610169491525</c:v>
                </c:pt>
              </c:numCache>
            </c:numRef>
          </c:val>
        </c:ser>
        <c:dLbls>
          <c:showLegendKey val="0"/>
          <c:showVal val="0"/>
          <c:showCatName val="0"/>
          <c:showSerName val="0"/>
          <c:showPercent val="0"/>
          <c:showBubbleSize val="0"/>
        </c:dLbls>
        <c:gapWidth val="150"/>
        <c:shape val="box"/>
        <c:axId val="163801088"/>
        <c:axId val="168049984"/>
        <c:axId val="0"/>
      </c:bar3DChart>
      <c:catAx>
        <c:axId val="163801088"/>
        <c:scaling>
          <c:orientation val="minMax"/>
        </c:scaling>
        <c:delete val="0"/>
        <c:axPos val="b"/>
        <c:majorTickMark val="out"/>
        <c:minorTickMark val="none"/>
        <c:tickLblPos val="nextTo"/>
        <c:crossAx val="168049984"/>
        <c:crosses val="autoZero"/>
        <c:auto val="1"/>
        <c:lblAlgn val="ctr"/>
        <c:lblOffset val="100"/>
        <c:noMultiLvlLbl val="0"/>
      </c:catAx>
      <c:valAx>
        <c:axId val="168049984"/>
        <c:scaling>
          <c:orientation val="minMax"/>
          <c:max val="1"/>
        </c:scaling>
        <c:delete val="0"/>
        <c:axPos val="l"/>
        <c:majorGridlines/>
        <c:numFmt formatCode="0%" sourceLinked="0"/>
        <c:majorTickMark val="out"/>
        <c:minorTickMark val="none"/>
        <c:tickLblPos val="nextTo"/>
        <c:crossAx val="163801088"/>
        <c:crosses val="autoZero"/>
        <c:crossBetween val="between"/>
        <c:majorUnit val="0.2"/>
      </c:valAx>
    </c:plotArea>
    <c:legend>
      <c:legendPos val="r"/>
      <c:overlay val="0"/>
    </c:legend>
    <c:plotVisOnly val="1"/>
    <c:dispBlanksAs val="gap"/>
    <c:showDLblsOverMax val="0"/>
  </c:chart>
  <c:spPr>
    <a:ln>
      <a:noFill/>
    </a:ln>
  </c:spPr>
  <c:printSettings>
    <c:headerFooter/>
    <c:pageMargins b="0.75000000000000244" l="0.70000000000000062" r="0.70000000000000062" t="0.75000000000000244"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1'!$G$28</c:f>
              <c:strCache>
                <c:ptCount val="1"/>
                <c:pt idx="0">
                  <c:v>Ano Lectivo 2006/07</c:v>
                </c:pt>
              </c:strCache>
            </c:strRef>
          </c:tx>
          <c:spPr>
            <a:solidFill>
              <a:srgbClr val="FF0000"/>
            </a:solidFill>
          </c:spPr>
          <c:invertIfNegative val="0"/>
          <c:cat>
            <c:strRef>
              <c:f>'TRIÉNIO 1'!$F$30:$F$34</c:f>
              <c:strCache>
                <c:ptCount val="5"/>
                <c:pt idx="0">
                  <c:v>5º</c:v>
                </c:pt>
                <c:pt idx="1">
                  <c:v>6º</c:v>
                </c:pt>
                <c:pt idx="2">
                  <c:v>7º</c:v>
                </c:pt>
                <c:pt idx="3">
                  <c:v>8º</c:v>
                </c:pt>
                <c:pt idx="4">
                  <c:v>9º</c:v>
                </c:pt>
              </c:strCache>
            </c:strRef>
          </c:cat>
          <c:val>
            <c:numRef>
              <c:f>('TRIÉNIO 1'!$G$30,'TRIÉNIO 1'!$G$31,'TRIÉNIO 1'!$G$32,'TRIÉNIO 1'!$G$33,'TRIÉNIO 1'!$G$34)</c:f>
              <c:numCache>
                <c:formatCode>0.0%</c:formatCode>
                <c:ptCount val="5"/>
                <c:pt idx="0">
                  <c:v>5.0999999999999997E-2</c:v>
                </c:pt>
                <c:pt idx="1">
                  <c:v>1.0999999999999999E-2</c:v>
                </c:pt>
                <c:pt idx="2">
                  <c:v>6.0000000000000001E-3</c:v>
                </c:pt>
                <c:pt idx="3">
                  <c:v>0</c:v>
                </c:pt>
                <c:pt idx="4">
                  <c:v>3.3000000000000002E-2</c:v>
                </c:pt>
              </c:numCache>
            </c:numRef>
          </c:val>
        </c:ser>
        <c:ser>
          <c:idx val="1"/>
          <c:order val="1"/>
          <c:tx>
            <c:strRef>
              <c:f>'TRIÉNIO 1'!$H$28</c:f>
              <c:strCache>
                <c:ptCount val="1"/>
                <c:pt idx="0">
                  <c:v>Ano Lectivo 2007/08</c:v>
                </c:pt>
              </c:strCache>
            </c:strRef>
          </c:tx>
          <c:spPr>
            <a:solidFill>
              <a:srgbClr val="00FF00"/>
            </a:solidFill>
          </c:spPr>
          <c:invertIfNegative val="0"/>
          <c:cat>
            <c:strRef>
              <c:f>'TRIÉNIO 1'!$F$30:$F$34</c:f>
              <c:strCache>
                <c:ptCount val="5"/>
                <c:pt idx="0">
                  <c:v>5º</c:v>
                </c:pt>
                <c:pt idx="1">
                  <c:v>6º</c:v>
                </c:pt>
                <c:pt idx="2">
                  <c:v>7º</c:v>
                </c:pt>
                <c:pt idx="3">
                  <c:v>8º</c:v>
                </c:pt>
                <c:pt idx="4">
                  <c:v>9º</c:v>
                </c:pt>
              </c:strCache>
            </c:strRef>
          </c:cat>
          <c:val>
            <c:numRef>
              <c:f>('TRIÉNIO 1'!$H$30,'TRIÉNIO 1'!$H$31,'TRIÉNIO 1'!$H$32,'TRIÉNIO 1'!$H$33,'TRIÉNIO 1'!$H$34)</c:f>
              <c:numCache>
                <c:formatCode>0.0%</c:formatCode>
                <c:ptCount val="5"/>
                <c:pt idx="0">
                  <c:v>0.04</c:v>
                </c:pt>
                <c:pt idx="1">
                  <c:v>1.1834319526627219E-2</c:v>
                </c:pt>
                <c:pt idx="2">
                  <c:v>0</c:v>
                </c:pt>
                <c:pt idx="3">
                  <c:v>0</c:v>
                </c:pt>
                <c:pt idx="4">
                  <c:v>8.8495575221238937E-3</c:v>
                </c:pt>
              </c:numCache>
            </c:numRef>
          </c:val>
        </c:ser>
        <c:ser>
          <c:idx val="2"/>
          <c:order val="2"/>
          <c:tx>
            <c:strRef>
              <c:f>'TRIÉNIO 1'!$I$28</c:f>
              <c:strCache>
                <c:ptCount val="1"/>
                <c:pt idx="0">
                  <c:v>Ano Lectivo 2008/09</c:v>
                </c:pt>
              </c:strCache>
            </c:strRef>
          </c:tx>
          <c:spPr>
            <a:solidFill>
              <a:srgbClr val="00CCFF"/>
            </a:solidFill>
          </c:spPr>
          <c:invertIfNegative val="0"/>
          <c:cat>
            <c:strRef>
              <c:f>'TRIÉNIO 1'!$F$30:$F$34</c:f>
              <c:strCache>
                <c:ptCount val="5"/>
                <c:pt idx="0">
                  <c:v>5º</c:v>
                </c:pt>
                <c:pt idx="1">
                  <c:v>6º</c:v>
                </c:pt>
                <c:pt idx="2">
                  <c:v>7º</c:v>
                </c:pt>
                <c:pt idx="3">
                  <c:v>8º</c:v>
                </c:pt>
                <c:pt idx="4">
                  <c:v>9º</c:v>
                </c:pt>
              </c:strCache>
            </c:strRef>
          </c:cat>
          <c:val>
            <c:numRef>
              <c:f>('TRIÉNIO 1'!$I$30,'TRIÉNIO 1'!$I$31,'TRIÉNIO 1'!$I$32,'TRIÉNIO 1'!$I$33,'TRIÉNIO 1'!$I$34)</c:f>
              <c:numCache>
                <c:formatCode>0.0%</c:formatCode>
                <c:ptCount val="5"/>
                <c:pt idx="0">
                  <c:v>2.9629629629629631E-2</c:v>
                </c:pt>
                <c:pt idx="1">
                  <c:v>4.7244094488188976E-2</c:v>
                </c:pt>
                <c:pt idx="2">
                  <c:v>6.1728395061728392E-3</c:v>
                </c:pt>
                <c:pt idx="3">
                  <c:v>0</c:v>
                </c:pt>
                <c:pt idx="4">
                  <c:v>0</c:v>
                </c:pt>
              </c:numCache>
            </c:numRef>
          </c:val>
        </c:ser>
        <c:dLbls>
          <c:showLegendKey val="0"/>
          <c:showVal val="0"/>
          <c:showCatName val="0"/>
          <c:showSerName val="0"/>
          <c:showPercent val="0"/>
          <c:showBubbleSize val="0"/>
        </c:dLbls>
        <c:gapWidth val="150"/>
        <c:shape val="box"/>
        <c:axId val="176572416"/>
        <c:axId val="170231488"/>
        <c:axId val="0"/>
      </c:bar3DChart>
      <c:catAx>
        <c:axId val="176572416"/>
        <c:scaling>
          <c:orientation val="minMax"/>
        </c:scaling>
        <c:delete val="0"/>
        <c:axPos val="b"/>
        <c:majorTickMark val="out"/>
        <c:minorTickMark val="none"/>
        <c:tickLblPos val="nextTo"/>
        <c:crossAx val="170231488"/>
        <c:crosses val="autoZero"/>
        <c:auto val="1"/>
        <c:lblAlgn val="ctr"/>
        <c:lblOffset val="100"/>
        <c:noMultiLvlLbl val="0"/>
      </c:catAx>
      <c:valAx>
        <c:axId val="170231488"/>
        <c:scaling>
          <c:orientation val="minMax"/>
          <c:max val="1"/>
        </c:scaling>
        <c:delete val="0"/>
        <c:axPos val="l"/>
        <c:majorGridlines/>
        <c:numFmt formatCode="0%" sourceLinked="0"/>
        <c:majorTickMark val="out"/>
        <c:minorTickMark val="none"/>
        <c:tickLblPos val="nextTo"/>
        <c:crossAx val="176572416"/>
        <c:crosses val="autoZero"/>
        <c:crossBetween val="between"/>
        <c:majorUnit val="0.2"/>
      </c:valAx>
    </c:plotArea>
    <c:legend>
      <c:legendPos val="r"/>
      <c:overlay val="0"/>
    </c:legend>
    <c:plotVisOnly val="1"/>
    <c:dispBlanksAs val="gap"/>
    <c:showDLblsOverMax val="0"/>
  </c:chart>
  <c:spPr>
    <a:ln>
      <a:noFill/>
    </a:ln>
  </c:spPr>
  <c:printSettings>
    <c:headerFooter/>
    <c:pageMargins b="0.75000000000000089" l="0.70000000000000062" r="0.70000000000000062" t="0.75000000000000089"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LÍNGUA PORTUGUESA</a:t>
            </a:r>
          </a:p>
        </c:rich>
      </c:tx>
      <c:layout>
        <c:manualLayout>
          <c:xMode val="edge"/>
          <c:yMode val="edge"/>
          <c:x val="0.25920822397200388"/>
          <c:y val="0"/>
        </c:manualLayout>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843285214348206"/>
          <c:y val="0.10762066317273068"/>
          <c:w val="0.84592445629336099"/>
          <c:h val="0.68881720974588789"/>
        </c:manualLayout>
      </c:layout>
      <c:bar3DChart>
        <c:barDir val="col"/>
        <c:grouping val="clustered"/>
        <c:varyColors val="0"/>
        <c:ser>
          <c:idx val="0"/>
          <c:order val="0"/>
          <c:tx>
            <c:strRef>
              <c:f>'TRIÉNIO 2'!$B$7:$B$8</c:f>
              <c:strCache>
                <c:ptCount val="1"/>
                <c:pt idx="0">
                  <c:v>2006/07</c:v>
                </c:pt>
              </c:strCache>
            </c:strRef>
          </c:tx>
          <c:spPr>
            <a:solidFill>
              <a:srgbClr val="FF0000"/>
            </a:solidFill>
          </c:spPr>
          <c:invertIfNegative val="0"/>
          <c:cat>
            <c:strRef>
              <c:f>'TRIÉNIO 2'!$A$9:$A$13</c:f>
              <c:strCache>
                <c:ptCount val="5"/>
                <c:pt idx="0">
                  <c:v>5º</c:v>
                </c:pt>
                <c:pt idx="1">
                  <c:v>6º</c:v>
                </c:pt>
                <c:pt idx="2">
                  <c:v>7º</c:v>
                </c:pt>
                <c:pt idx="3">
                  <c:v>8º</c:v>
                </c:pt>
                <c:pt idx="4">
                  <c:v>9º</c:v>
                </c:pt>
              </c:strCache>
            </c:strRef>
          </c:cat>
          <c:val>
            <c:numRef>
              <c:f>('TRIÉNIO 2'!$B$9,'TRIÉNIO 2'!$B$10,'TRIÉNIO 2'!$B$11,'TRIÉNIO 2'!$B$12,'TRIÉNIO 2'!$B$13)</c:f>
              <c:numCache>
                <c:formatCode>0.0%</c:formatCode>
                <c:ptCount val="5"/>
                <c:pt idx="0">
                  <c:v>0.28000000000000003</c:v>
                </c:pt>
                <c:pt idx="1">
                  <c:v>0.26300000000000001</c:v>
                </c:pt>
                <c:pt idx="2">
                  <c:v>0.29099999999999998</c:v>
                </c:pt>
                <c:pt idx="3">
                  <c:v>0.41499999999999998</c:v>
                </c:pt>
                <c:pt idx="4">
                  <c:v>0.22500000000000001</c:v>
                </c:pt>
              </c:numCache>
            </c:numRef>
          </c:val>
        </c:ser>
        <c:ser>
          <c:idx val="1"/>
          <c:order val="1"/>
          <c:tx>
            <c:strRef>
              <c:f>'TRIÉNIO 2'!$C$7:$C$8</c:f>
              <c:strCache>
                <c:ptCount val="1"/>
                <c:pt idx="0">
                  <c:v>2007/08</c:v>
                </c:pt>
              </c:strCache>
            </c:strRef>
          </c:tx>
          <c:spPr>
            <a:solidFill>
              <a:srgbClr val="00FF00"/>
            </a:solidFill>
          </c:spPr>
          <c:invertIfNegative val="0"/>
          <c:cat>
            <c:strRef>
              <c:f>'TRIÉNIO 2'!$A$9:$A$13</c:f>
              <c:strCache>
                <c:ptCount val="5"/>
                <c:pt idx="0">
                  <c:v>5º</c:v>
                </c:pt>
                <c:pt idx="1">
                  <c:v>6º</c:v>
                </c:pt>
                <c:pt idx="2">
                  <c:v>7º</c:v>
                </c:pt>
                <c:pt idx="3">
                  <c:v>8º</c:v>
                </c:pt>
                <c:pt idx="4">
                  <c:v>9º</c:v>
                </c:pt>
              </c:strCache>
            </c:strRef>
          </c:cat>
          <c:val>
            <c:numRef>
              <c:f>('TRIÉNIO 2'!$C$9,'TRIÉNIO 2'!$C$10,'TRIÉNIO 2'!$C$11,'TRIÉNIO 2'!$C$12,'TRIÉNIO 2'!$C$13)</c:f>
              <c:numCache>
                <c:formatCode>0.0%</c:formatCode>
                <c:ptCount val="5"/>
                <c:pt idx="0">
                  <c:v>0.30000000000000004</c:v>
                </c:pt>
                <c:pt idx="1">
                  <c:v>0.18343195266272194</c:v>
                </c:pt>
                <c:pt idx="2">
                  <c:v>0.47560975609756095</c:v>
                </c:pt>
                <c:pt idx="3">
                  <c:v>0.13600000000000001</c:v>
                </c:pt>
                <c:pt idx="4">
                  <c:v>9.7345132743362872E-2</c:v>
                </c:pt>
              </c:numCache>
            </c:numRef>
          </c:val>
        </c:ser>
        <c:ser>
          <c:idx val="2"/>
          <c:order val="2"/>
          <c:tx>
            <c:strRef>
              <c:f>'TRIÉNIO 2'!$D$7:$D$8</c:f>
              <c:strCache>
                <c:ptCount val="1"/>
                <c:pt idx="0">
                  <c:v>2008/09</c:v>
                </c:pt>
              </c:strCache>
            </c:strRef>
          </c:tx>
          <c:spPr>
            <a:solidFill>
              <a:srgbClr val="00CCFF"/>
            </a:solidFill>
          </c:spPr>
          <c:invertIfNegative val="0"/>
          <c:cat>
            <c:strRef>
              <c:f>'TRIÉNIO 2'!$A$9:$A$13</c:f>
              <c:strCache>
                <c:ptCount val="5"/>
                <c:pt idx="0">
                  <c:v>5º</c:v>
                </c:pt>
                <c:pt idx="1">
                  <c:v>6º</c:v>
                </c:pt>
                <c:pt idx="2">
                  <c:v>7º</c:v>
                </c:pt>
                <c:pt idx="3">
                  <c:v>8º</c:v>
                </c:pt>
                <c:pt idx="4">
                  <c:v>9º</c:v>
                </c:pt>
              </c:strCache>
            </c:strRef>
          </c:cat>
          <c:val>
            <c:numRef>
              <c:f>('TRIÉNIO 2'!$D$9,'TRIÉNIO 2'!$D$10,'TRIÉNIO 2'!$D$11,'TRIÉNIO 2'!$D$12,'TRIÉNIO 2'!$D$13)</c:f>
              <c:numCache>
                <c:formatCode>0.0%</c:formatCode>
                <c:ptCount val="5"/>
                <c:pt idx="0">
                  <c:v>0.27819548872180455</c:v>
                </c:pt>
                <c:pt idx="1">
                  <c:v>0.25396825396825395</c:v>
                </c:pt>
                <c:pt idx="2">
                  <c:v>0.38888888888888884</c:v>
                </c:pt>
                <c:pt idx="3">
                  <c:v>0.51666666666666661</c:v>
                </c:pt>
                <c:pt idx="4">
                  <c:v>0.11016949152542377</c:v>
                </c:pt>
              </c:numCache>
            </c:numRef>
          </c:val>
        </c:ser>
        <c:dLbls>
          <c:showLegendKey val="0"/>
          <c:showVal val="0"/>
          <c:showCatName val="0"/>
          <c:showSerName val="0"/>
          <c:showPercent val="0"/>
          <c:showBubbleSize val="0"/>
        </c:dLbls>
        <c:gapWidth val="150"/>
        <c:shape val="box"/>
        <c:axId val="179220480"/>
        <c:axId val="170233792"/>
        <c:axId val="0"/>
      </c:bar3DChart>
      <c:catAx>
        <c:axId val="179220480"/>
        <c:scaling>
          <c:orientation val="minMax"/>
        </c:scaling>
        <c:delete val="0"/>
        <c:axPos val="b"/>
        <c:majorTickMark val="out"/>
        <c:minorTickMark val="none"/>
        <c:tickLblPos val="nextTo"/>
        <c:crossAx val="170233792"/>
        <c:crosses val="autoZero"/>
        <c:auto val="1"/>
        <c:lblAlgn val="ctr"/>
        <c:lblOffset val="100"/>
        <c:noMultiLvlLbl val="0"/>
      </c:catAx>
      <c:valAx>
        <c:axId val="170233792"/>
        <c:scaling>
          <c:orientation val="minMax"/>
          <c:max val="1"/>
        </c:scaling>
        <c:delete val="0"/>
        <c:axPos val="l"/>
        <c:majorGridlines/>
        <c:numFmt formatCode="0%" sourceLinked="0"/>
        <c:majorTickMark val="out"/>
        <c:minorTickMark val="none"/>
        <c:tickLblPos val="nextTo"/>
        <c:crossAx val="179220480"/>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INGLÊS</a:t>
            </a:r>
          </a:p>
        </c:rich>
      </c:tx>
      <c:layout>
        <c:manualLayout>
          <c:xMode val="edge"/>
          <c:yMode val="edge"/>
          <c:x val="0.39702537182852243"/>
          <c:y val="5.5888205985444563E-2"/>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4920674285793076"/>
          <c:y val="0.18156444036728475"/>
          <c:w val="0.81229806904058366"/>
          <c:h val="0.62182809673062822"/>
        </c:manualLayout>
      </c:layout>
      <c:bar3DChart>
        <c:barDir val="col"/>
        <c:grouping val="clustered"/>
        <c:varyColors val="0"/>
        <c:ser>
          <c:idx val="0"/>
          <c:order val="0"/>
          <c:tx>
            <c:strRef>
              <c:f>'TRIÉNIO 2'!$E$7:$E$8</c:f>
              <c:strCache>
                <c:ptCount val="1"/>
                <c:pt idx="0">
                  <c:v>2006/07</c:v>
                </c:pt>
              </c:strCache>
            </c:strRef>
          </c:tx>
          <c:spPr>
            <a:solidFill>
              <a:srgbClr val="FF0000"/>
            </a:solidFill>
          </c:spPr>
          <c:invertIfNegative val="0"/>
          <c:cat>
            <c:strRef>
              <c:f>'TRIÉNIO 2'!$A$9:$A$13</c:f>
              <c:strCache>
                <c:ptCount val="5"/>
                <c:pt idx="0">
                  <c:v>5º</c:v>
                </c:pt>
                <c:pt idx="1">
                  <c:v>6º</c:v>
                </c:pt>
                <c:pt idx="2">
                  <c:v>7º</c:v>
                </c:pt>
                <c:pt idx="3">
                  <c:v>8º</c:v>
                </c:pt>
                <c:pt idx="4">
                  <c:v>9º</c:v>
                </c:pt>
              </c:strCache>
            </c:strRef>
          </c:cat>
          <c:val>
            <c:numRef>
              <c:f>('TRIÉNIO 2'!$E$9,'TRIÉNIO 2'!$E$10,'TRIÉNIO 2'!$E$11,'TRIÉNIO 2'!$E$12,'TRIÉNIO 2'!$E$13)</c:f>
              <c:numCache>
                <c:formatCode>0.0%</c:formatCode>
                <c:ptCount val="5"/>
                <c:pt idx="0">
                  <c:v>0.29699999999999999</c:v>
                </c:pt>
                <c:pt idx="1">
                  <c:v>0.223</c:v>
                </c:pt>
                <c:pt idx="2">
                  <c:v>0.28499999999999998</c:v>
                </c:pt>
                <c:pt idx="3">
                  <c:v>0.23599999999999999</c:v>
                </c:pt>
                <c:pt idx="4">
                  <c:v>0.25800000000000001</c:v>
                </c:pt>
              </c:numCache>
            </c:numRef>
          </c:val>
        </c:ser>
        <c:ser>
          <c:idx val="1"/>
          <c:order val="1"/>
          <c:tx>
            <c:strRef>
              <c:f>'TRIÉNIO 2'!$F$7:$F$8</c:f>
              <c:strCache>
                <c:ptCount val="1"/>
                <c:pt idx="0">
                  <c:v>2007/08</c:v>
                </c:pt>
              </c:strCache>
            </c:strRef>
          </c:tx>
          <c:spPr>
            <a:solidFill>
              <a:srgbClr val="00FF00"/>
            </a:solidFill>
          </c:spPr>
          <c:invertIfNegative val="0"/>
          <c:cat>
            <c:strRef>
              <c:f>'TRIÉNIO 2'!$A$9:$A$13</c:f>
              <c:strCache>
                <c:ptCount val="5"/>
                <c:pt idx="0">
                  <c:v>5º</c:v>
                </c:pt>
                <c:pt idx="1">
                  <c:v>6º</c:v>
                </c:pt>
                <c:pt idx="2">
                  <c:v>7º</c:v>
                </c:pt>
                <c:pt idx="3">
                  <c:v>8º</c:v>
                </c:pt>
                <c:pt idx="4">
                  <c:v>9º</c:v>
                </c:pt>
              </c:strCache>
            </c:strRef>
          </c:cat>
          <c:val>
            <c:numRef>
              <c:f>('TRIÉNIO 2'!$F$9,'TRIÉNIO 2'!$F$10,'TRIÉNIO 2'!$F$11,'TRIÉNIO 2'!$F$12,'TRIÉNIO 2'!$F$13)</c:f>
              <c:numCache>
                <c:formatCode>0.0%</c:formatCode>
                <c:ptCount val="5"/>
                <c:pt idx="0">
                  <c:v>0.32666666666666666</c:v>
                </c:pt>
                <c:pt idx="1">
                  <c:v>0.20118343195266275</c:v>
                </c:pt>
                <c:pt idx="2">
                  <c:v>0.31707317073170727</c:v>
                </c:pt>
                <c:pt idx="3">
                  <c:v>0.19999999999999996</c:v>
                </c:pt>
                <c:pt idx="4">
                  <c:v>0.18584070796460173</c:v>
                </c:pt>
              </c:numCache>
            </c:numRef>
          </c:val>
        </c:ser>
        <c:ser>
          <c:idx val="2"/>
          <c:order val="2"/>
          <c:tx>
            <c:strRef>
              <c:f>'TRIÉNIO 2'!$G$7:$G$8</c:f>
              <c:strCache>
                <c:ptCount val="1"/>
                <c:pt idx="0">
                  <c:v>2008/09</c:v>
                </c:pt>
              </c:strCache>
            </c:strRef>
          </c:tx>
          <c:spPr>
            <a:solidFill>
              <a:srgbClr val="00CCFF"/>
            </a:solidFill>
          </c:spPr>
          <c:invertIfNegative val="0"/>
          <c:cat>
            <c:strRef>
              <c:f>'TRIÉNIO 2'!$A$9:$A$13</c:f>
              <c:strCache>
                <c:ptCount val="5"/>
                <c:pt idx="0">
                  <c:v>5º</c:v>
                </c:pt>
                <c:pt idx="1">
                  <c:v>6º</c:v>
                </c:pt>
                <c:pt idx="2">
                  <c:v>7º</c:v>
                </c:pt>
                <c:pt idx="3">
                  <c:v>8º</c:v>
                </c:pt>
                <c:pt idx="4">
                  <c:v>9º</c:v>
                </c:pt>
              </c:strCache>
            </c:strRef>
          </c:cat>
          <c:val>
            <c:numRef>
              <c:f>('TRIÉNIO 2'!$G$9,'TRIÉNIO 2'!$G$10,'TRIÉNIO 2'!$G$11,'TRIÉNIO 2'!$G$12,'TRIÉNIO 2'!$G$13)</c:f>
              <c:numCache>
                <c:formatCode>0.0%</c:formatCode>
                <c:ptCount val="5"/>
                <c:pt idx="0">
                  <c:v>0.2857142857142857</c:v>
                </c:pt>
                <c:pt idx="1">
                  <c:v>0.31746031746031744</c:v>
                </c:pt>
                <c:pt idx="2">
                  <c:v>0.4320987654320988</c:v>
                </c:pt>
                <c:pt idx="3">
                  <c:v>0.29166666666666663</c:v>
                </c:pt>
                <c:pt idx="4">
                  <c:v>0.10169491525423724</c:v>
                </c:pt>
              </c:numCache>
            </c:numRef>
          </c:val>
        </c:ser>
        <c:dLbls>
          <c:showLegendKey val="0"/>
          <c:showVal val="0"/>
          <c:showCatName val="0"/>
          <c:showSerName val="0"/>
          <c:showPercent val="0"/>
          <c:showBubbleSize val="0"/>
        </c:dLbls>
        <c:gapWidth val="150"/>
        <c:shape val="box"/>
        <c:axId val="179222016"/>
        <c:axId val="170236096"/>
        <c:axId val="0"/>
      </c:bar3DChart>
      <c:catAx>
        <c:axId val="179222016"/>
        <c:scaling>
          <c:orientation val="minMax"/>
        </c:scaling>
        <c:delete val="0"/>
        <c:axPos val="b"/>
        <c:majorTickMark val="out"/>
        <c:minorTickMark val="none"/>
        <c:tickLblPos val="nextTo"/>
        <c:crossAx val="170236096"/>
        <c:crosses val="autoZero"/>
        <c:auto val="1"/>
        <c:lblAlgn val="ctr"/>
        <c:lblOffset val="100"/>
        <c:noMultiLvlLbl val="0"/>
      </c:catAx>
      <c:valAx>
        <c:axId val="170236096"/>
        <c:scaling>
          <c:orientation val="minMax"/>
          <c:max val="1"/>
        </c:scaling>
        <c:delete val="0"/>
        <c:axPos val="l"/>
        <c:majorGridlines/>
        <c:numFmt formatCode="0%" sourceLinked="0"/>
        <c:majorTickMark val="out"/>
        <c:minorTickMark val="none"/>
        <c:tickLblPos val="nextTo"/>
        <c:crossAx val="179222016"/>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FRANCÊS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2'!$H$7:$H$8</c:f>
              <c:strCache>
                <c:ptCount val="1"/>
                <c:pt idx="0">
                  <c:v>2006/07</c:v>
                </c:pt>
              </c:strCache>
            </c:strRef>
          </c:tx>
          <c:spPr>
            <a:solidFill>
              <a:srgbClr val="FF0000"/>
            </a:solidFill>
          </c:spPr>
          <c:invertIfNegative val="0"/>
          <c:cat>
            <c:strRef>
              <c:f>'TRIÉNIO 2'!$A$11:$A$13</c:f>
              <c:strCache>
                <c:ptCount val="3"/>
                <c:pt idx="0">
                  <c:v>7º</c:v>
                </c:pt>
                <c:pt idx="1">
                  <c:v>8º</c:v>
                </c:pt>
                <c:pt idx="2">
                  <c:v>9º</c:v>
                </c:pt>
              </c:strCache>
            </c:strRef>
          </c:cat>
          <c:val>
            <c:numRef>
              <c:f>'TRIÉNIO 2'!$H$11:$J$11</c:f>
              <c:numCache>
                <c:formatCode>0.0%</c:formatCode>
                <c:ptCount val="3"/>
                <c:pt idx="0">
                  <c:v>0.26700000000000002</c:v>
                </c:pt>
                <c:pt idx="1">
                  <c:v>5.8394160583941646E-2</c:v>
                </c:pt>
                <c:pt idx="2">
                  <c:v>0.37301587301587302</c:v>
                </c:pt>
              </c:numCache>
            </c:numRef>
          </c:val>
        </c:ser>
        <c:ser>
          <c:idx val="1"/>
          <c:order val="1"/>
          <c:tx>
            <c:strRef>
              <c:f>'TRIÉNIO 2'!$I$7:$I$8</c:f>
              <c:strCache>
                <c:ptCount val="1"/>
                <c:pt idx="0">
                  <c:v>2007/08</c:v>
                </c:pt>
              </c:strCache>
            </c:strRef>
          </c:tx>
          <c:spPr>
            <a:solidFill>
              <a:srgbClr val="00FF00"/>
            </a:solidFill>
          </c:spPr>
          <c:invertIfNegative val="0"/>
          <c:cat>
            <c:strRef>
              <c:f>'TRIÉNIO 2'!$A$11:$A$13</c:f>
              <c:strCache>
                <c:ptCount val="3"/>
                <c:pt idx="0">
                  <c:v>7º</c:v>
                </c:pt>
                <c:pt idx="1">
                  <c:v>8º</c:v>
                </c:pt>
                <c:pt idx="2">
                  <c:v>9º</c:v>
                </c:pt>
              </c:strCache>
            </c:strRef>
          </c:cat>
          <c:val>
            <c:numRef>
              <c:f>'TRIÉNIO 2'!$H$12:$J$12</c:f>
              <c:numCache>
                <c:formatCode>0.0%</c:formatCode>
                <c:ptCount val="3"/>
                <c:pt idx="0">
                  <c:v>0.218</c:v>
                </c:pt>
                <c:pt idx="1">
                  <c:v>0.16800000000000004</c:v>
                </c:pt>
                <c:pt idx="2">
                  <c:v>0.18681318681318682</c:v>
                </c:pt>
              </c:numCache>
            </c:numRef>
          </c:val>
        </c:ser>
        <c:ser>
          <c:idx val="2"/>
          <c:order val="2"/>
          <c:tx>
            <c:strRef>
              <c:f>'TRIÉNIO 2'!$J$7:$J$8</c:f>
              <c:strCache>
                <c:ptCount val="1"/>
                <c:pt idx="0">
                  <c:v>2008/09</c:v>
                </c:pt>
              </c:strCache>
            </c:strRef>
          </c:tx>
          <c:spPr>
            <a:solidFill>
              <a:srgbClr val="00CCFF"/>
            </a:solidFill>
          </c:spPr>
          <c:invertIfNegative val="0"/>
          <c:cat>
            <c:strRef>
              <c:f>'TRIÉNIO 2'!$A$11:$A$13</c:f>
              <c:strCache>
                <c:ptCount val="3"/>
                <c:pt idx="0">
                  <c:v>7º</c:v>
                </c:pt>
                <c:pt idx="1">
                  <c:v>8º</c:v>
                </c:pt>
                <c:pt idx="2">
                  <c:v>9º</c:v>
                </c:pt>
              </c:strCache>
            </c:strRef>
          </c:cat>
          <c:val>
            <c:numRef>
              <c:f>'TRIÉNIO 2'!$H$13:$J$13</c:f>
              <c:numCache>
                <c:formatCode>0.0%</c:formatCode>
                <c:ptCount val="3"/>
                <c:pt idx="0">
                  <c:v>0.20200000000000001</c:v>
                </c:pt>
                <c:pt idx="1">
                  <c:v>0.1415929203539823</c:v>
                </c:pt>
                <c:pt idx="2">
                  <c:v>0.34375</c:v>
                </c:pt>
              </c:numCache>
            </c:numRef>
          </c:val>
        </c:ser>
        <c:dLbls>
          <c:showLegendKey val="0"/>
          <c:showVal val="0"/>
          <c:showCatName val="0"/>
          <c:showSerName val="0"/>
          <c:showPercent val="0"/>
          <c:showBubbleSize val="0"/>
        </c:dLbls>
        <c:gapWidth val="150"/>
        <c:shape val="box"/>
        <c:axId val="179222528"/>
        <c:axId val="171164224"/>
        <c:axId val="0"/>
      </c:bar3DChart>
      <c:catAx>
        <c:axId val="179222528"/>
        <c:scaling>
          <c:orientation val="minMax"/>
        </c:scaling>
        <c:delete val="0"/>
        <c:axPos val="b"/>
        <c:majorTickMark val="out"/>
        <c:minorTickMark val="none"/>
        <c:tickLblPos val="nextTo"/>
        <c:crossAx val="171164224"/>
        <c:crosses val="autoZero"/>
        <c:auto val="1"/>
        <c:lblAlgn val="ctr"/>
        <c:lblOffset val="100"/>
        <c:noMultiLvlLbl val="0"/>
      </c:catAx>
      <c:valAx>
        <c:axId val="171164224"/>
        <c:scaling>
          <c:orientation val="minMax"/>
          <c:max val="1"/>
        </c:scaling>
        <c:delete val="0"/>
        <c:axPos val="l"/>
        <c:majorGridlines/>
        <c:numFmt formatCode="0%" sourceLinked="0"/>
        <c:majorTickMark val="out"/>
        <c:minorTickMark val="none"/>
        <c:tickLblPos val="nextTo"/>
        <c:crossAx val="179222528"/>
        <c:crosses val="autoZero"/>
        <c:crossBetween val="between"/>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H.G.P.</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2'!$K$7:$K$8</c:f>
              <c:strCache>
                <c:ptCount val="1"/>
                <c:pt idx="0">
                  <c:v>2006/07</c:v>
                </c:pt>
              </c:strCache>
            </c:strRef>
          </c:tx>
          <c:spPr>
            <a:solidFill>
              <a:srgbClr val="FF0000"/>
            </a:solidFill>
          </c:spPr>
          <c:invertIfNegative val="0"/>
          <c:cat>
            <c:strRef>
              <c:f>'TRIÉNIO 2'!$A$9:$A$13</c:f>
              <c:strCache>
                <c:ptCount val="5"/>
                <c:pt idx="0">
                  <c:v>5º</c:v>
                </c:pt>
                <c:pt idx="1">
                  <c:v>6º</c:v>
                </c:pt>
                <c:pt idx="2">
                  <c:v>7º</c:v>
                </c:pt>
                <c:pt idx="3">
                  <c:v>8º</c:v>
                </c:pt>
                <c:pt idx="4">
                  <c:v>9º</c:v>
                </c:pt>
              </c:strCache>
            </c:strRef>
          </c:cat>
          <c:val>
            <c:numRef>
              <c:f>('TRIÉNIO 2'!$K$9,'TRIÉNIO 2'!$K$10,'TRIÉNIO 2'!$K$11,'TRIÉNIO 2'!$K$12,'TRIÉNIO 2'!$K$13)</c:f>
              <c:numCache>
                <c:formatCode>0.0%</c:formatCode>
                <c:ptCount val="5"/>
                <c:pt idx="0">
                  <c:v>0.22900000000000001</c:v>
                </c:pt>
                <c:pt idx="1">
                  <c:v>0.223</c:v>
                </c:pt>
                <c:pt idx="2">
                  <c:v>0.17599999999999999</c:v>
                </c:pt>
                <c:pt idx="3">
                  <c:v>0.16200000000000001</c:v>
                </c:pt>
                <c:pt idx="4">
                  <c:v>0.13500000000000001</c:v>
                </c:pt>
              </c:numCache>
            </c:numRef>
          </c:val>
        </c:ser>
        <c:ser>
          <c:idx val="1"/>
          <c:order val="1"/>
          <c:tx>
            <c:strRef>
              <c:f>'TRIÉNIO 2'!$L$7:$L$8</c:f>
              <c:strCache>
                <c:ptCount val="1"/>
                <c:pt idx="0">
                  <c:v>2007/08</c:v>
                </c:pt>
              </c:strCache>
            </c:strRef>
          </c:tx>
          <c:spPr>
            <a:solidFill>
              <a:srgbClr val="00FF00"/>
            </a:solidFill>
          </c:spPr>
          <c:invertIfNegative val="0"/>
          <c:cat>
            <c:strRef>
              <c:f>'TRIÉNIO 2'!$A$9:$A$13</c:f>
              <c:strCache>
                <c:ptCount val="5"/>
                <c:pt idx="0">
                  <c:v>5º</c:v>
                </c:pt>
                <c:pt idx="1">
                  <c:v>6º</c:v>
                </c:pt>
                <c:pt idx="2">
                  <c:v>7º</c:v>
                </c:pt>
                <c:pt idx="3">
                  <c:v>8º</c:v>
                </c:pt>
                <c:pt idx="4">
                  <c:v>9º</c:v>
                </c:pt>
              </c:strCache>
            </c:strRef>
          </c:cat>
          <c:val>
            <c:numRef>
              <c:f>('TRIÉNIO 2'!$L$9,'TRIÉNIO 2'!$L$10,'TRIÉNIO 2'!$L$11,'TRIÉNIO 2'!$L$12,'TRIÉNIO 2'!$L$13)</c:f>
              <c:numCache>
                <c:formatCode>0.0%</c:formatCode>
                <c:ptCount val="5"/>
                <c:pt idx="0">
                  <c:v>0.28000000000000003</c:v>
                </c:pt>
                <c:pt idx="1">
                  <c:v>0.20118343195266275</c:v>
                </c:pt>
                <c:pt idx="2">
                  <c:v>0.21341463414634143</c:v>
                </c:pt>
                <c:pt idx="3">
                  <c:v>0.16800000000000004</c:v>
                </c:pt>
                <c:pt idx="4">
                  <c:v>7.9646017699115057E-2</c:v>
                </c:pt>
              </c:numCache>
            </c:numRef>
          </c:val>
        </c:ser>
        <c:ser>
          <c:idx val="2"/>
          <c:order val="2"/>
          <c:tx>
            <c:strRef>
              <c:f>'TRIÉNIO 2'!$M$7:$M$8</c:f>
              <c:strCache>
                <c:ptCount val="1"/>
                <c:pt idx="0">
                  <c:v>2008/09</c:v>
                </c:pt>
              </c:strCache>
            </c:strRef>
          </c:tx>
          <c:spPr>
            <a:solidFill>
              <a:srgbClr val="00CCFF"/>
            </a:solidFill>
          </c:spPr>
          <c:invertIfNegative val="0"/>
          <c:cat>
            <c:strRef>
              <c:f>'TRIÉNIO 2'!$A$9:$A$13</c:f>
              <c:strCache>
                <c:ptCount val="5"/>
                <c:pt idx="0">
                  <c:v>5º</c:v>
                </c:pt>
                <c:pt idx="1">
                  <c:v>6º</c:v>
                </c:pt>
                <c:pt idx="2">
                  <c:v>7º</c:v>
                </c:pt>
                <c:pt idx="3">
                  <c:v>8º</c:v>
                </c:pt>
                <c:pt idx="4">
                  <c:v>9º</c:v>
                </c:pt>
              </c:strCache>
            </c:strRef>
          </c:cat>
          <c:val>
            <c:numRef>
              <c:f>('TRIÉNIO 2'!$M$9,'TRIÉNIO 2'!$M$10,'TRIÉNIO 2'!$M$11,'TRIÉNIO 2'!$M$12,'TRIÉNIO 2'!$M$13)</c:f>
              <c:numCache>
                <c:formatCode>0.0%</c:formatCode>
                <c:ptCount val="5"/>
                <c:pt idx="0">
                  <c:v>0.21052631578947367</c:v>
                </c:pt>
                <c:pt idx="1">
                  <c:v>0.2142857142857143</c:v>
                </c:pt>
                <c:pt idx="2">
                  <c:v>0.35185185185185186</c:v>
                </c:pt>
                <c:pt idx="3">
                  <c:v>9.1666666666666674E-2</c:v>
                </c:pt>
                <c:pt idx="4">
                  <c:v>0.11016949152542377</c:v>
                </c:pt>
              </c:numCache>
            </c:numRef>
          </c:val>
        </c:ser>
        <c:dLbls>
          <c:showLegendKey val="0"/>
          <c:showVal val="0"/>
          <c:showCatName val="0"/>
          <c:showSerName val="0"/>
          <c:showPercent val="0"/>
          <c:showBubbleSize val="0"/>
        </c:dLbls>
        <c:gapWidth val="150"/>
        <c:shape val="box"/>
        <c:axId val="179223040"/>
        <c:axId val="171166528"/>
        <c:axId val="0"/>
      </c:bar3DChart>
      <c:catAx>
        <c:axId val="179223040"/>
        <c:scaling>
          <c:orientation val="minMax"/>
        </c:scaling>
        <c:delete val="0"/>
        <c:axPos val="b"/>
        <c:majorTickMark val="out"/>
        <c:minorTickMark val="none"/>
        <c:tickLblPos val="nextTo"/>
        <c:crossAx val="171166528"/>
        <c:crosses val="autoZero"/>
        <c:auto val="1"/>
        <c:lblAlgn val="ctr"/>
        <c:lblOffset val="100"/>
        <c:noMultiLvlLbl val="0"/>
      </c:catAx>
      <c:valAx>
        <c:axId val="171166528"/>
        <c:scaling>
          <c:orientation val="minMax"/>
          <c:max val="1"/>
        </c:scaling>
        <c:delete val="0"/>
        <c:axPos val="l"/>
        <c:majorGridlines/>
        <c:numFmt formatCode="0%" sourceLinked="0"/>
        <c:majorTickMark val="out"/>
        <c:minorTickMark val="none"/>
        <c:tickLblPos val="nextTo"/>
        <c:crossAx val="179223040"/>
        <c:crosses val="autoZero"/>
        <c:crossBetween val="between"/>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GEOGRAFIA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2'!$O$7:$O$8</c:f>
              <c:strCache>
                <c:ptCount val="1"/>
                <c:pt idx="0">
                  <c:v>2006/07</c:v>
                </c:pt>
              </c:strCache>
            </c:strRef>
          </c:tx>
          <c:spPr>
            <a:solidFill>
              <a:srgbClr val="FF0000"/>
            </a:solidFill>
          </c:spPr>
          <c:invertIfNegative val="0"/>
          <c:cat>
            <c:strRef>
              <c:f>'TRIÉNIO 2'!$N$11:$N$13</c:f>
              <c:strCache>
                <c:ptCount val="3"/>
                <c:pt idx="0">
                  <c:v>7º</c:v>
                </c:pt>
                <c:pt idx="1">
                  <c:v>8º</c:v>
                </c:pt>
                <c:pt idx="2">
                  <c:v>9º</c:v>
                </c:pt>
              </c:strCache>
            </c:strRef>
          </c:cat>
          <c:val>
            <c:numRef>
              <c:f>'TRIÉNIO 2'!$O$11:$Q$11</c:f>
              <c:numCache>
                <c:formatCode>0.0%</c:formatCode>
                <c:ptCount val="3"/>
                <c:pt idx="0">
                  <c:v>0.23599999999999999</c:v>
                </c:pt>
                <c:pt idx="1">
                  <c:v>0.23170731707317072</c:v>
                </c:pt>
                <c:pt idx="2">
                  <c:v>0.5</c:v>
                </c:pt>
              </c:numCache>
            </c:numRef>
          </c:val>
        </c:ser>
        <c:ser>
          <c:idx val="1"/>
          <c:order val="1"/>
          <c:tx>
            <c:strRef>
              <c:f>'TRIÉNIO 2'!$P$7:$P$8</c:f>
              <c:strCache>
                <c:ptCount val="1"/>
                <c:pt idx="0">
                  <c:v>2007/08</c:v>
                </c:pt>
              </c:strCache>
            </c:strRef>
          </c:tx>
          <c:spPr>
            <a:solidFill>
              <a:srgbClr val="00FF00"/>
            </a:solidFill>
          </c:spPr>
          <c:invertIfNegative val="0"/>
          <c:cat>
            <c:strRef>
              <c:f>'TRIÉNIO 2'!$N$11:$N$13</c:f>
              <c:strCache>
                <c:ptCount val="3"/>
                <c:pt idx="0">
                  <c:v>7º</c:v>
                </c:pt>
                <c:pt idx="1">
                  <c:v>8º</c:v>
                </c:pt>
                <c:pt idx="2">
                  <c:v>9º</c:v>
                </c:pt>
              </c:strCache>
            </c:strRef>
          </c:cat>
          <c:val>
            <c:numRef>
              <c:f>'TRIÉNIO 2'!$O$12:$Q$12</c:f>
              <c:numCache>
                <c:formatCode>0.0%</c:formatCode>
                <c:ptCount val="3"/>
                <c:pt idx="0">
                  <c:v>9.9000000000000005E-2</c:v>
                </c:pt>
                <c:pt idx="1">
                  <c:v>0.24</c:v>
                </c:pt>
                <c:pt idx="2">
                  <c:v>9.9999999999999978E-2</c:v>
                </c:pt>
              </c:numCache>
            </c:numRef>
          </c:val>
        </c:ser>
        <c:ser>
          <c:idx val="2"/>
          <c:order val="2"/>
          <c:tx>
            <c:strRef>
              <c:f>'TRIÉNIO 2'!$Q$7:$Q$8</c:f>
              <c:strCache>
                <c:ptCount val="1"/>
                <c:pt idx="0">
                  <c:v>2008/09</c:v>
                </c:pt>
              </c:strCache>
            </c:strRef>
          </c:tx>
          <c:spPr>
            <a:solidFill>
              <a:srgbClr val="00CCFF"/>
            </a:solidFill>
          </c:spPr>
          <c:invertIfNegative val="0"/>
          <c:cat>
            <c:strRef>
              <c:f>'TRIÉNIO 2'!$N$11:$N$13</c:f>
              <c:strCache>
                <c:ptCount val="3"/>
                <c:pt idx="0">
                  <c:v>7º</c:v>
                </c:pt>
                <c:pt idx="1">
                  <c:v>8º</c:v>
                </c:pt>
                <c:pt idx="2">
                  <c:v>9º</c:v>
                </c:pt>
              </c:strCache>
            </c:strRef>
          </c:cat>
          <c:val>
            <c:numRef>
              <c:f>'TRIÉNIO 2'!$O$13:$Q$13</c:f>
              <c:numCache>
                <c:formatCode>0.0%</c:formatCode>
                <c:ptCount val="3"/>
                <c:pt idx="0">
                  <c:v>0.10100000000000001</c:v>
                </c:pt>
                <c:pt idx="1">
                  <c:v>5.3097345132743334E-2</c:v>
                </c:pt>
                <c:pt idx="2">
                  <c:v>0.17796610169491522</c:v>
                </c:pt>
              </c:numCache>
            </c:numRef>
          </c:val>
        </c:ser>
        <c:dLbls>
          <c:showLegendKey val="0"/>
          <c:showVal val="0"/>
          <c:showCatName val="0"/>
          <c:showSerName val="0"/>
          <c:showPercent val="0"/>
          <c:showBubbleSize val="0"/>
        </c:dLbls>
        <c:gapWidth val="150"/>
        <c:shape val="box"/>
        <c:axId val="179223552"/>
        <c:axId val="171168832"/>
        <c:axId val="0"/>
      </c:bar3DChart>
      <c:catAx>
        <c:axId val="179223552"/>
        <c:scaling>
          <c:orientation val="minMax"/>
        </c:scaling>
        <c:delete val="0"/>
        <c:axPos val="b"/>
        <c:majorTickMark val="out"/>
        <c:minorTickMark val="none"/>
        <c:tickLblPos val="nextTo"/>
        <c:crossAx val="171168832"/>
        <c:crosses val="autoZero"/>
        <c:auto val="1"/>
        <c:lblAlgn val="ctr"/>
        <c:lblOffset val="100"/>
        <c:noMultiLvlLbl val="0"/>
      </c:catAx>
      <c:valAx>
        <c:axId val="171168832"/>
        <c:scaling>
          <c:orientation val="minMax"/>
          <c:max val="1"/>
        </c:scaling>
        <c:delete val="0"/>
        <c:axPos val="l"/>
        <c:majorGridlines/>
        <c:numFmt formatCode="0%" sourceLinked="0"/>
        <c:majorTickMark val="out"/>
        <c:minorTickMark val="none"/>
        <c:tickLblPos val="nextTo"/>
        <c:crossAx val="179223552"/>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MATEMÁTICA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2'!$R$7:$R$8</c:f>
              <c:strCache>
                <c:ptCount val="1"/>
                <c:pt idx="0">
                  <c:v>2006/07</c:v>
                </c:pt>
              </c:strCache>
            </c:strRef>
          </c:tx>
          <c:spPr>
            <a:solidFill>
              <a:srgbClr val="FF0000"/>
            </a:solidFill>
          </c:spPr>
          <c:invertIfNegative val="0"/>
          <c:cat>
            <c:strRef>
              <c:f>'TRIÉNIO 2'!$N$9:$N$13</c:f>
              <c:strCache>
                <c:ptCount val="5"/>
                <c:pt idx="0">
                  <c:v>5º</c:v>
                </c:pt>
                <c:pt idx="1">
                  <c:v>6º</c:v>
                </c:pt>
                <c:pt idx="2">
                  <c:v>7º</c:v>
                </c:pt>
                <c:pt idx="3">
                  <c:v>8º</c:v>
                </c:pt>
                <c:pt idx="4">
                  <c:v>9º</c:v>
                </c:pt>
              </c:strCache>
            </c:strRef>
          </c:cat>
          <c:val>
            <c:numRef>
              <c:f>('TRIÉNIO 2'!$R$9,'TRIÉNIO 2'!$R$10,'TRIÉNIO 2'!$R$11,'TRIÉNIO 2'!$R$12,'TRIÉNIO 2'!$R$13)</c:f>
              <c:numCache>
                <c:formatCode>0.0%</c:formatCode>
                <c:ptCount val="5"/>
                <c:pt idx="0">
                  <c:v>0.32600000000000001</c:v>
                </c:pt>
                <c:pt idx="1">
                  <c:v>0.309</c:v>
                </c:pt>
                <c:pt idx="2">
                  <c:v>0.33300000000000002</c:v>
                </c:pt>
                <c:pt idx="3">
                  <c:v>0.40100000000000002</c:v>
                </c:pt>
                <c:pt idx="4">
                  <c:v>0.40400000000000003</c:v>
                </c:pt>
              </c:numCache>
            </c:numRef>
          </c:val>
        </c:ser>
        <c:ser>
          <c:idx val="1"/>
          <c:order val="1"/>
          <c:tx>
            <c:strRef>
              <c:f>'TRIÉNIO 2'!$S$7:$S$8</c:f>
              <c:strCache>
                <c:ptCount val="1"/>
                <c:pt idx="0">
                  <c:v>2007/08</c:v>
                </c:pt>
              </c:strCache>
            </c:strRef>
          </c:tx>
          <c:spPr>
            <a:solidFill>
              <a:srgbClr val="00FF00"/>
            </a:solidFill>
          </c:spPr>
          <c:invertIfNegative val="0"/>
          <c:cat>
            <c:strRef>
              <c:f>'TRIÉNIO 2'!$N$9:$N$13</c:f>
              <c:strCache>
                <c:ptCount val="5"/>
                <c:pt idx="0">
                  <c:v>5º</c:v>
                </c:pt>
                <c:pt idx="1">
                  <c:v>6º</c:v>
                </c:pt>
                <c:pt idx="2">
                  <c:v>7º</c:v>
                </c:pt>
                <c:pt idx="3">
                  <c:v>8º</c:v>
                </c:pt>
                <c:pt idx="4">
                  <c:v>9º</c:v>
                </c:pt>
              </c:strCache>
            </c:strRef>
          </c:cat>
          <c:val>
            <c:numRef>
              <c:f>('TRIÉNIO 2'!$S$9,'TRIÉNIO 2'!$S$10,'TRIÉNIO 2'!$S$11,'TRIÉNIO 2'!$S$12,'TRIÉNIO 2'!$S$13)</c:f>
              <c:numCache>
                <c:formatCode>0.0%</c:formatCode>
                <c:ptCount val="5"/>
                <c:pt idx="0">
                  <c:v>0.31999999999999995</c:v>
                </c:pt>
                <c:pt idx="1">
                  <c:v>0.2899408284023669</c:v>
                </c:pt>
                <c:pt idx="2">
                  <c:v>0.35365853658536583</c:v>
                </c:pt>
                <c:pt idx="3">
                  <c:v>0.24</c:v>
                </c:pt>
                <c:pt idx="4">
                  <c:v>0.23008849557522126</c:v>
                </c:pt>
              </c:numCache>
            </c:numRef>
          </c:val>
        </c:ser>
        <c:ser>
          <c:idx val="2"/>
          <c:order val="2"/>
          <c:tx>
            <c:strRef>
              <c:f>'TRIÉNIO 2'!$T$7:$T$8</c:f>
              <c:strCache>
                <c:ptCount val="1"/>
                <c:pt idx="0">
                  <c:v>2008/09</c:v>
                </c:pt>
              </c:strCache>
            </c:strRef>
          </c:tx>
          <c:spPr>
            <a:solidFill>
              <a:srgbClr val="00CCFF"/>
            </a:solidFill>
          </c:spPr>
          <c:invertIfNegative val="0"/>
          <c:cat>
            <c:strRef>
              <c:f>'TRIÉNIO 2'!$N$9:$N$13</c:f>
              <c:strCache>
                <c:ptCount val="5"/>
                <c:pt idx="0">
                  <c:v>5º</c:v>
                </c:pt>
                <c:pt idx="1">
                  <c:v>6º</c:v>
                </c:pt>
                <c:pt idx="2">
                  <c:v>7º</c:v>
                </c:pt>
                <c:pt idx="3">
                  <c:v>8º</c:v>
                </c:pt>
                <c:pt idx="4">
                  <c:v>9º</c:v>
                </c:pt>
              </c:strCache>
            </c:strRef>
          </c:cat>
          <c:val>
            <c:numRef>
              <c:f>('TRIÉNIO 2'!$T$9,'TRIÉNIO 2'!$T$10,'TRIÉNIO 2'!$T$11,'TRIÉNIO 2'!$T$12,'TRIÉNIO 2'!$T$13)</c:f>
              <c:numCache>
                <c:formatCode>0.0%</c:formatCode>
                <c:ptCount val="5"/>
                <c:pt idx="0">
                  <c:v>0.36090225563909772</c:v>
                </c:pt>
                <c:pt idx="1">
                  <c:v>0.36507936507936511</c:v>
                </c:pt>
                <c:pt idx="2">
                  <c:v>0.38271604938271608</c:v>
                </c:pt>
                <c:pt idx="3">
                  <c:v>0.28333333333333333</c:v>
                </c:pt>
                <c:pt idx="4">
                  <c:v>0.26271186440677963</c:v>
                </c:pt>
              </c:numCache>
            </c:numRef>
          </c:val>
        </c:ser>
        <c:dLbls>
          <c:showLegendKey val="0"/>
          <c:showVal val="0"/>
          <c:showCatName val="0"/>
          <c:showSerName val="0"/>
          <c:showPercent val="0"/>
          <c:showBubbleSize val="0"/>
        </c:dLbls>
        <c:gapWidth val="150"/>
        <c:shape val="box"/>
        <c:axId val="185675776"/>
        <c:axId val="171171136"/>
        <c:axId val="0"/>
      </c:bar3DChart>
      <c:catAx>
        <c:axId val="185675776"/>
        <c:scaling>
          <c:orientation val="minMax"/>
        </c:scaling>
        <c:delete val="0"/>
        <c:axPos val="b"/>
        <c:majorTickMark val="out"/>
        <c:minorTickMark val="none"/>
        <c:tickLblPos val="nextTo"/>
        <c:crossAx val="171171136"/>
        <c:crosses val="autoZero"/>
        <c:auto val="1"/>
        <c:lblAlgn val="ctr"/>
        <c:lblOffset val="100"/>
        <c:noMultiLvlLbl val="0"/>
      </c:catAx>
      <c:valAx>
        <c:axId val="171171136"/>
        <c:scaling>
          <c:orientation val="minMax"/>
          <c:max val="1"/>
        </c:scaling>
        <c:delete val="0"/>
        <c:axPos val="l"/>
        <c:majorGridlines/>
        <c:numFmt formatCode="0%" sourceLinked="0"/>
        <c:majorTickMark val="out"/>
        <c:minorTickMark val="none"/>
        <c:tickLblPos val="nextTo"/>
        <c:crossAx val="185675776"/>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CIÊNCIAS DA NATUREZA/CIÊNCIAS NATURAIS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2'!$U$7:$U$8</c:f>
              <c:strCache>
                <c:ptCount val="1"/>
                <c:pt idx="0">
                  <c:v>2006/07</c:v>
                </c:pt>
              </c:strCache>
            </c:strRef>
          </c:tx>
          <c:spPr>
            <a:solidFill>
              <a:srgbClr val="FF0000"/>
            </a:solidFill>
          </c:spPr>
          <c:invertIfNegative val="0"/>
          <c:cat>
            <c:strRef>
              <c:f>'TRIÉNIO 2'!$N$9:$N$13</c:f>
              <c:strCache>
                <c:ptCount val="5"/>
                <c:pt idx="0">
                  <c:v>5º</c:v>
                </c:pt>
                <c:pt idx="1">
                  <c:v>6º</c:v>
                </c:pt>
                <c:pt idx="2">
                  <c:v>7º</c:v>
                </c:pt>
                <c:pt idx="3">
                  <c:v>8º</c:v>
                </c:pt>
                <c:pt idx="4">
                  <c:v>9º</c:v>
                </c:pt>
              </c:strCache>
            </c:strRef>
          </c:cat>
          <c:val>
            <c:numRef>
              <c:f>('TRIÉNIO 2'!$U$9,'TRIÉNIO 2'!$U$10,'TRIÉNIO 2'!$U$11,'TRIÉNIO 2'!$U$12,'TRIÉNIO 2'!$U$13)</c:f>
              <c:numCache>
                <c:formatCode>0.0%</c:formatCode>
                <c:ptCount val="5"/>
                <c:pt idx="0">
                  <c:v>0.16</c:v>
                </c:pt>
                <c:pt idx="1">
                  <c:v>0.17699999999999999</c:v>
                </c:pt>
                <c:pt idx="2">
                  <c:v>0.255</c:v>
                </c:pt>
                <c:pt idx="3">
                  <c:v>4.9000000000000002E-2</c:v>
                </c:pt>
                <c:pt idx="4">
                  <c:v>7.9000000000000001E-2</c:v>
                </c:pt>
              </c:numCache>
            </c:numRef>
          </c:val>
        </c:ser>
        <c:ser>
          <c:idx val="1"/>
          <c:order val="1"/>
          <c:tx>
            <c:strRef>
              <c:f>'TRIÉNIO 2'!$V$7:$V$8</c:f>
              <c:strCache>
                <c:ptCount val="1"/>
                <c:pt idx="0">
                  <c:v>2007/08</c:v>
                </c:pt>
              </c:strCache>
            </c:strRef>
          </c:tx>
          <c:spPr>
            <a:solidFill>
              <a:srgbClr val="00FF00"/>
            </a:solidFill>
          </c:spPr>
          <c:invertIfNegative val="0"/>
          <c:cat>
            <c:strRef>
              <c:f>'TRIÉNIO 2'!$N$9:$N$13</c:f>
              <c:strCache>
                <c:ptCount val="5"/>
                <c:pt idx="0">
                  <c:v>5º</c:v>
                </c:pt>
                <c:pt idx="1">
                  <c:v>6º</c:v>
                </c:pt>
                <c:pt idx="2">
                  <c:v>7º</c:v>
                </c:pt>
                <c:pt idx="3">
                  <c:v>8º</c:v>
                </c:pt>
                <c:pt idx="4">
                  <c:v>9º</c:v>
                </c:pt>
              </c:strCache>
            </c:strRef>
          </c:cat>
          <c:val>
            <c:numRef>
              <c:f>('TRIÉNIO 2'!$V$9,'TRIÉNIO 2'!$V$10,'TRIÉNIO 2'!$V$11,'TRIÉNIO 2'!$V$12,'TRIÉNIO 2'!$V$13)</c:f>
              <c:numCache>
                <c:formatCode>0.0%</c:formatCode>
                <c:ptCount val="5"/>
                <c:pt idx="0">
                  <c:v>0.21333333333333337</c:v>
                </c:pt>
                <c:pt idx="1">
                  <c:v>7.6923076923076872E-2</c:v>
                </c:pt>
                <c:pt idx="2">
                  <c:v>0.18292682926829273</c:v>
                </c:pt>
                <c:pt idx="3">
                  <c:v>7.999999999999996E-2</c:v>
                </c:pt>
                <c:pt idx="4">
                  <c:v>2.6548672566371723E-2</c:v>
                </c:pt>
              </c:numCache>
            </c:numRef>
          </c:val>
        </c:ser>
        <c:ser>
          <c:idx val="2"/>
          <c:order val="2"/>
          <c:tx>
            <c:strRef>
              <c:f>'TRIÉNIO 2'!$W$7:$W$8</c:f>
              <c:strCache>
                <c:ptCount val="1"/>
                <c:pt idx="0">
                  <c:v>2008/09</c:v>
                </c:pt>
              </c:strCache>
            </c:strRef>
          </c:tx>
          <c:spPr>
            <a:solidFill>
              <a:srgbClr val="00CCFF"/>
            </a:solidFill>
          </c:spPr>
          <c:invertIfNegative val="0"/>
          <c:cat>
            <c:strRef>
              <c:f>'TRIÉNIO 2'!$N$9:$N$13</c:f>
              <c:strCache>
                <c:ptCount val="5"/>
                <c:pt idx="0">
                  <c:v>5º</c:v>
                </c:pt>
                <c:pt idx="1">
                  <c:v>6º</c:v>
                </c:pt>
                <c:pt idx="2">
                  <c:v>7º</c:v>
                </c:pt>
                <c:pt idx="3">
                  <c:v>8º</c:v>
                </c:pt>
                <c:pt idx="4">
                  <c:v>9º</c:v>
                </c:pt>
              </c:strCache>
            </c:strRef>
          </c:cat>
          <c:val>
            <c:numRef>
              <c:f>('TRIÉNIO 2'!$W$9,'TRIÉNIO 2'!$W$10,'TRIÉNIO 2'!$W$11,'TRIÉNIO 2'!$W$12,'TRIÉNIO 2'!$W$13)</c:f>
              <c:numCache>
                <c:formatCode>0.0%</c:formatCode>
                <c:ptCount val="5"/>
                <c:pt idx="0">
                  <c:v>0.23308270676691734</c:v>
                </c:pt>
                <c:pt idx="1">
                  <c:v>0.15873015873015872</c:v>
                </c:pt>
                <c:pt idx="2">
                  <c:v>0.2592592592592593</c:v>
                </c:pt>
                <c:pt idx="3">
                  <c:v>4.166666666666663E-2</c:v>
                </c:pt>
                <c:pt idx="4">
                  <c:v>9.3220338983050821E-2</c:v>
                </c:pt>
              </c:numCache>
            </c:numRef>
          </c:val>
        </c:ser>
        <c:dLbls>
          <c:showLegendKey val="0"/>
          <c:showVal val="0"/>
          <c:showCatName val="0"/>
          <c:showSerName val="0"/>
          <c:showPercent val="0"/>
          <c:showBubbleSize val="0"/>
        </c:dLbls>
        <c:gapWidth val="75"/>
        <c:shape val="box"/>
        <c:axId val="185677312"/>
        <c:axId val="175777472"/>
        <c:axId val="0"/>
      </c:bar3DChart>
      <c:catAx>
        <c:axId val="185677312"/>
        <c:scaling>
          <c:orientation val="minMax"/>
        </c:scaling>
        <c:delete val="0"/>
        <c:axPos val="b"/>
        <c:majorTickMark val="none"/>
        <c:minorTickMark val="none"/>
        <c:tickLblPos val="nextTo"/>
        <c:crossAx val="175777472"/>
        <c:crosses val="autoZero"/>
        <c:auto val="1"/>
        <c:lblAlgn val="ctr"/>
        <c:lblOffset val="100"/>
        <c:noMultiLvlLbl val="0"/>
      </c:catAx>
      <c:valAx>
        <c:axId val="175777472"/>
        <c:scaling>
          <c:orientation val="minMax"/>
          <c:max val="1"/>
        </c:scaling>
        <c:delete val="0"/>
        <c:axPos val="l"/>
        <c:majorGridlines/>
        <c:numFmt formatCode="0%" sourceLinked="0"/>
        <c:majorTickMark val="none"/>
        <c:minorTickMark val="none"/>
        <c:tickLblPos val="nextTo"/>
        <c:spPr>
          <a:ln w="9525">
            <a:noFill/>
          </a:ln>
        </c:spPr>
        <c:crossAx val="185677312"/>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01655966299196E-2"/>
          <c:y val="8.7658862876254712E-2"/>
          <c:w val="0.79893762606851748"/>
          <c:h val="0.72610249387722858"/>
        </c:manualLayout>
      </c:layout>
      <c:barChart>
        <c:barDir val="col"/>
        <c:grouping val="clustered"/>
        <c:varyColors val="0"/>
        <c:ser>
          <c:idx val="0"/>
          <c:order val="0"/>
          <c:tx>
            <c:v>7º ANO</c:v>
          </c:tx>
          <c:spPr>
            <a:solidFill>
              <a:srgbClr val="FFFF00"/>
            </a:solidFill>
            <a:ln w="12700">
              <a:solidFill>
                <a:srgbClr val="000000"/>
              </a:solidFill>
              <a:prstDash val="solid"/>
            </a:ln>
          </c:spPr>
          <c:invertIfNegative val="0"/>
          <c:cat>
            <c:strRef>
              <c:f>Folha1!$Q$9:$U$9</c:f>
              <c:strCache>
                <c:ptCount val="5"/>
                <c:pt idx="0">
                  <c:v>EV</c:v>
                </c:pt>
                <c:pt idx="1">
                  <c:v>ED ART</c:v>
                </c:pt>
                <c:pt idx="2">
                  <c:v>ET</c:v>
                </c:pt>
                <c:pt idx="3">
                  <c:v>EF</c:v>
                </c:pt>
                <c:pt idx="4">
                  <c:v>EMRC</c:v>
                </c:pt>
              </c:strCache>
            </c:strRef>
          </c:cat>
          <c:val>
            <c:numRef>
              <c:f>(Folha1!$Q$10,Folha1!$R$10,Folha1!$S$10,Folha1!$T$10,Folha1!$U$10)</c:f>
              <c:numCache>
                <c:formatCode>0.00%</c:formatCode>
                <c:ptCount val="5"/>
                <c:pt idx="0">
                  <c:v>0.87654320987654322</c:v>
                </c:pt>
                <c:pt idx="1">
                  <c:v>0.88271604938271608</c:v>
                </c:pt>
                <c:pt idx="2">
                  <c:v>0.9320987654320988</c:v>
                </c:pt>
                <c:pt idx="3">
                  <c:v>0.97530864197530864</c:v>
                </c:pt>
                <c:pt idx="4">
                  <c:v>1</c:v>
                </c:pt>
              </c:numCache>
            </c:numRef>
          </c:val>
        </c:ser>
        <c:ser>
          <c:idx val="1"/>
          <c:order val="1"/>
          <c:tx>
            <c:v>8º ANO</c:v>
          </c:tx>
          <c:spPr>
            <a:solidFill>
              <a:srgbClr val="00FF00"/>
            </a:solidFill>
            <a:ln w="12700">
              <a:solidFill>
                <a:srgbClr val="000000"/>
              </a:solidFill>
              <a:prstDash val="solid"/>
            </a:ln>
          </c:spPr>
          <c:invertIfNegative val="0"/>
          <c:cat>
            <c:strRef>
              <c:f>Folha1!$Q$9:$U$9</c:f>
              <c:strCache>
                <c:ptCount val="5"/>
                <c:pt idx="0">
                  <c:v>EV</c:v>
                </c:pt>
                <c:pt idx="1">
                  <c:v>ED ART</c:v>
                </c:pt>
                <c:pt idx="2">
                  <c:v>ET</c:v>
                </c:pt>
                <c:pt idx="3">
                  <c:v>EF</c:v>
                </c:pt>
                <c:pt idx="4">
                  <c:v>EMRC</c:v>
                </c:pt>
              </c:strCache>
            </c:strRef>
          </c:cat>
          <c:val>
            <c:numRef>
              <c:f>(Folha1!$Q$11,Folha1!$R$11,Folha1!$S$11,Folha1!$T$11,Folha1!$U$11)</c:f>
              <c:numCache>
                <c:formatCode>0.00%</c:formatCode>
                <c:ptCount val="5"/>
                <c:pt idx="0">
                  <c:v>0.93333333333333335</c:v>
                </c:pt>
                <c:pt idx="1">
                  <c:v>0.95</c:v>
                </c:pt>
                <c:pt idx="2">
                  <c:v>0.95</c:v>
                </c:pt>
                <c:pt idx="3">
                  <c:v>0.98333333333333328</c:v>
                </c:pt>
                <c:pt idx="4">
                  <c:v>1</c:v>
                </c:pt>
              </c:numCache>
            </c:numRef>
          </c:val>
        </c:ser>
        <c:ser>
          <c:idx val="2"/>
          <c:order val="2"/>
          <c:tx>
            <c:v>9º ANO</c:v>
          </c:tx>
          <c:spPr>
            <a:solidFill>
              <a:srgbClr val="FF0000"/>
            </a:solidFill>
            <a:ln w="12700">
              <a:solidFill>
                <a:srgbClr val="000000"/>
              </a:solidFill>
              <a:prstDash val="solid"/>
            </a:ln>
          </c:spPr>
          <c:invertIfNegative val="0"/>
          <c:cat>
            <c:strRef>
              <c:f>Folha1!$Q$9:$U$9</c:f>
              <c:strCache>
                <c:ptCount val="5"/>
                <c:pt idx="0">
                  <c:v>EV</c:v>
                </c:pt>
                <c:pt idx="1">
                  <c:v>ED ART</c:v>
                </c:pt>
                <c:pt idx="2">
                  <c:v>ET</c:v>
                </c:pt>
                <c:pt idx="3">
                  <c:v>EF</c:v>
                </c:pt>
                <c:pt idx="4">
                  <c:v>EMRC</c:v>
                </c:pt>
              </c:strCache>
            </c:strRef>
          </c:cat>
          <c:val>
            <c:numRef>
              <c:f>(Folha1!$Q$12,Folha1!$R$12,Folha1!$S$12,Folha1!$T$12,Folha1!$U$12)</c:f>
              <c:numCache>
                <c:formatCode>0.00%</c:formatCode>
                <c:ptCount val="5"/>
                <c:pt idx="0">
                  <c:v>0.94545454545454544</c:v>
                </c:pt>
                <c:pt idx="1">
                  <c:v>1</c:v>
                </c:pt>
                <c:pt idx="2">
                  <c:v>1</c:v>
                </c:pt>
                <c:pt idx="3">
                  <c:v>0.9576271186440678</c:v>
                </c:pt>
                <c:pt idx="4">
                  <c:v>1</c:v>
                </c:pt>
              </c:numCache>
            </c:numRef>
          </c:val>
        </c:ser>
        <c:ser>
          <c:idx val="3"/>
          <c:order val="3"/>
          <c:tx>
            <c:v>TOTAL</c:v>
          </c:tx>
          <c:spPr>
            <a:solidFill>
              <a:schemeClr val="tx2">
                <a:lumMod val="20000"/>
                <a:lumOff val="80000"/>
              </a:schemeClr>
            </a:solidFill>
            <a:ln w="12700">
              <a:solidFill>
                <a:srgbClr val="000000"/>
              </a:solidFill>
              <a:prstDash val="solid"/>
            </a:ln>
          </c:spPr>
          <c:invertIfNegative val="0"/>
          <c:cat>
            <c:strRef>
              <c:f>Folha1!$Q$9:$U$9</c:f>
              <c:strCache>
                <c:ptCount val="5"/>
                <c:pt idx="0">
                  <c:v>EV</c:v>
                </c:pt>
                <c:pt idx="1">
                  <c:v>ED ART</c:v>
                </c:pt>
                <c:pt idx="2">
                  <c:v>ET</c:v>
                </c:pt>
                <c:pt idx="3">
                  <c:v>EF</c:v>
                </c:pt>
                <c:pt idx="4">
                  <c:v>EMRC</c:v>
                </c:pt>
              </c:strCache>
            </c:strRef>
          </c:cat>
          <c:val>
            <c:numRef>
              <c:f>(Folha1!$Q$13,Folha1!$R$13,Folha1!$S$13,Folha1!$T$13,Folha1!$U$13)</c:f>
              <c:numCache>
                <c:formatCode>0.00%</c:formatCode>
                <c:ptCount val="5"/>
                <c:pt idx="0">
                  <c:v>0.90801186943620182</c:v>
                </c:pt>
                <c:pt idx="1">
                  <c:v>0.91909385113268605</c:v>
                </c:pt>
                <c:pt idx="2">
                  <c:v>0.94985250737463123</c:v>
                </c:pt>
                <c:pt idx="3">
                  <c:v>0.97250000000000003</c:v>
                </c:pt>
                <c:pt idx="4">
                  <c:v>1</c:v>
                </c:pt>
              </c:numCache>
            </c:numRef>
          </c:val>
        </c:ser>
        <c:dLbls>
          <c:showLegendKey val="0"/>
          <c:showVal val="0"/>
          <c:showCatName val="0"/>
          <c:showSerName val="0"/>
          <c:showPercent val="0"/>
          <c:showBubbleSize val="0"/>
        </c:dLbls>
        <c:gapWidth val="75"/>
        <c:axId val="2352128"/>
        <c:axId val="113357888"/>
      </c:barChart>
      <c:catAx>
        <c:axId val="2352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13357888"/>
        <c:crosses val="autoZero"/>
        <c:auto val="1"/>
        <c:lblAlgn val="ctr"/>
        <c:lblOffset val="100"/>
        <c:tickLblSkip val="1"/>
        <c:tickMarkSkip val="1"/>
        <c:noMultiLvlLbl val="0"/>
      </c:catAx>
      <c:valAx>
        <c:axId val="113357888"/>
        <c:scaling>
          <c:orientation val="minMax"/>
          <c:max val="1"/>
          <c:min val="0"/>
        </c:scaling>
        <c:delete val="0"/>
        <c:axPos val="l"/>
        <c:majorGridlines>
          <c:spPr>
            <a:ln w="3175">
              <a:solidFill>
                <a:srgbClr val="000000"/>
              </a:solidFill>
              <a:prstDash val="solid"/>
            </a:ln>
          </c:spPr>
        </c:majorGridlines>
        <c:numFmt formatCode="0%" sourceLinked="0"/>
        <c:majorTickMark val="none"/>
        <c:minorTickMark val="none"/>
        <c:tickLblPos val="nextTo"/>
        <c:spPr>
          <a:ln w="25400">
            <a:noFill/>
          </a:ln>
        </c:spPr>
        <c:txPr>
          <a:bodyPr rot="0" vert="horz"/>
          <a:lstStyle/>
          <a:p>
            <a:pPr>
              <a:defRPr sz="1050" b="0" i="0" u="none" strike="noStrike" baseline="0">
                <a:solidFill>
                  <a:srgbClr val="000000"/>
                </a:solidFill>
                <a:latin typeface="Arial"/>
                <a:ea typeface="Arial"/>
                <a:cs typeface="Arial"/>
              </a:defRPr>
            </a:pPr>
            <a:endParaRPr lang="pt-PT"/>
          </a:p>
        </c:txPr>
        <c:crossAx val="2352128"/>
        <c:crosses val="autoZero"/>
        <c:crossBetween val="between"/>
        <c:majorUnit val="0.2"/>
      </c:valAx>
      <c:spPr>
        <a:noFill/>
        <a:ln w="12700">
          <a:solidFill>
            <a:srgbClr val="808080"/>
          </a:solidFill>
          <a:prstDash val="solid"/>
        </a:ln>
      </c:spPr>
    </c:plotArea>
    <c:legend>
      <c:legendPos val="r"/>
      <c:layout>
        <c:manualLayout>
          <c:xMode val="edge"/>
          <c:yMode val="edge"/>
          <c:x val="0.89612106722618035"/>
          <c:y val="0.29712883476134289"/>
          <c:w val="8.3113960212543705E-2"/>
          <c:h val="0.39372906584890555"/>
        </c:manualLayout>
      </c:layout>
      <c:overlay val="0"/>
      <c:txPr>
        <a:bodyPr/>
        <a:lstStyle/>
        <a:p>
          <a:pPr>
            <a:defRPr sz="1100"/>
          </a:pPr>
          <a:endParaRPr lang="pt-PT"/>
        </a:p>
      </c:txPr>
    </c:legend>
    <c:plotVisOnly val="1"/>
    <c:dispBlanksAs val="gap"/>
    <c:showDLblsOverMax val="0"/>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CIÊNCIAS FISICO-QUIMICAS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2'!$X$7:$X$8</c:f>
              <c:strCache>
                <c:ptCount val="1"/>
                <c:pt idx="0">
                  <c:v>2006/07</c:v>
                </c:pt>
              </c:strCache>
            </c:strRef>
          </c:tx>
          <c:spPr>
            <a:solidFill>
              <a:srgbClr val="FF0000"/>
            </a:solidFill>
          </c:spPr>
          <c:invertIfNegative val="0"/>
          <c:cat>
            <c:strRef>
              <c:f>'TRIÉNIO 2'!$N$11:$N$13</c:f>
              <c:strCache>
                <c:ptCount val="3"/>
                <c:pt idx="0">
                  <c:v>7º</c:v>
                </c:pt>
                <c:pt idx="1">
                  <c:v>8º</c:v>
                </c:pt>
                <c:pt idx="2">
                  <c:v>9º</c:v>
                </c:pt>
              </c:strCache>
            </c:strRef>
          </c:cat>
          <c:val>
            <c:numRef>
              <c:f>'TRIÉNIO 2'!$X$11:$Z$11</c:f>
              <c:numCache>
                <c:formatCode>0.0%</c:formatCode>
                <c:ptCount val="3"/>
                <c:pt idx="0">
                  <c:v>0.35799999999999998</c:v>
                </c:pt>
                <c:pt idx="1">
                  <c:v>0.32926829268292679</c:v>
                </c:pt>
                <c:pt idx="2">
                  <c:v>0.27160493827160492</c:v>
                </c:pt>
              </c:numCache>
            </c:numRef>
          </c:val>
        </c:ser>
        <c:ser>
          <c:idx val="1"/>
          <c:order val="1"/>
          <c:tx>
            <c:strRef>
              <c:f>'TRIÉNIO 2'!$Y$7:$Y$8</c:f>
              <c:strCache>
                <c:ptCount val="1"/>
                <c:pt idx="0">
                  <c:v>2007/08</c:v>
                </c:pt>
              </c:strCache>
            </c:strRef>
          </c:tx>
          <c:spPr>
            <a:solidFill>
              <a:srgbClr val="00FF00"/>
            </a:solidFill>
          </c:spPr>
          <c:invertIfNegative val="0"/>
          <c:cat>
            <c:strRef>
              <c:f>'TRIÉNIO 2'!$N$11:$N$13</c:f>
              <c:strCache>
                <c:ptCount val="3"/>
                <c:pt idx="0">
                  <c:v>7º</c:v>
                </c:pt>
                <c:pt idx="1">
                  <c:v>8º</c:v>
                </c:pt>
                <c:pt idx="2">
                  <c:v>9º</c:v>
                </c:pt>
              </c:strCache>
            </c:strRef>
          </c:cat>
          <c:val>
            <c:numRef>
              <c:f>'TRIÉNIO 2'!$X$12:$Z$12</c:f>
              <c:numCache>
                <c:formatCode>0.0%</c:formatCode>
                <c:ptCount val="3"/>
                <c:pt idx="0">
                  <c:v>0.22500000000000001</c:v>
                </c:pt>
                <c:pt idx="1">
                  <c:v>0.16800000000000004</c:v>
                </c:pt>
                <c:pt idx="2">
                  <c:v>8.333333333333337E-2</c:v>
                </c:pt>
              </c:numCache>
            </c:numRef>
          </c:val>
        </c:ser>
        <c:ser>
          <c:idx val="2"/>
          <c:order val="2"/>
          <c:tx>
            <c:strRef>
              <c:f>'TRIÉNIO 2'!$Z$7:$Z$8</c:f>
              <c:strCache>
                <c:ptCount val="1"/>
                <c:pt idx="0">
                  <c:v>2008/09</c:v>
                </c:pt>
              </c:strCache>
            </c:strRef>
          </c:tx>
          <c:spPr>
            <a:solidFill>
              <a:srgbClr val="00CCFF"/>
            </a:solidFill>
          </c:spPr>
          <c:invertIfNegative val="0"/>
          <c:cat>
            <c:strRef>
              <c:f>'TRIÉNIO 2'!$N$11:$N$13</c:f>
              <c:strCache>
                <c:ptCount val="3"/>
                <c:pt idx="0">
                  <c:v>7º</c:v>
                </c:pt>
                <c:pt idx="1">
                  <c:v>8º</c:v>
                </c:pt>
                <c:pt idx="2">
                  <c:v>9º</c:v>
                </c:pt>
              </c:strCache>
            </c:strRef>
          </c:cat>
          <c:val>
            <c:numRef>
              <c:f>'TRIÉNIO 2'!$X$13:$Z$13</c:f>
              <c:numCache>
                <c:formatCode>0.0%</c:formatCode>
                <c:ptCount val="3"/>
                <c:pt idx="0">
                  <c:v>0.14599999999999999</c:v>
                </c:pt>
                <c:pt idx="1">
                  <c:v>0.22123893805309736</c:v>
                </c:pt>
                <c:pt idx="2">
                  <c:v>0.24576271186440679</c:v>
                </c:pt>
              </c:numCache>
            </c:numRef>
          </c:val>
        </c:ser>
        <c:dLbls>
          <c:showLegendKey val="0"/>
          <c:showVal val="0"/>
          <c:showCatName val="0"/>
          <c:showSerName val="0"/>
          <c:showPercent val="0"/>
          <c:showBubbleSize val="0"/>
        </c:dLbls>
        <c:gapWidth val="75"/>
        <c:shape val="box"/>
        <c:axId val="185677824"/>
        <c:axId val="175779776"/>
        <c:axId val="0"/>
      </c:bar3DChart>
      <c:catAx>
        <c:axId val="185677824"/>
        <c:scaling>
          <c:orientation val="minMax"/>
        </c:scaling>
        <c:delete val="0"/>
        <c:axPos val="b"/>
        <c:majorTickMark val="none"/>
        <c:minorTickMark val="none"/>
        <c:tickLblPos val="nextTo"/>
        <c:crossAx val="175779776"/>
        <c:crosses val="autoZero"/>
        <c:auto val="1"/>
        <c:lblAlgn val="ctr"/>
        <c:lblOffset val="100"/>
        <c:noMultiLvlLbl val="0"/>
      </c:catAx>
      <c:valAx>
        <c:axId val="175779776"/>
        <c:scaling>
          <c:orientation val="minMax"/>
          <c:max val="1"/>
        </c:scaling>
        <c:delete val="0"/>
        <c:axPos val="l"/>
        <c:majorGridlines/>
        <c:numFmt formatCode="0%" sourceLinked="0"/>
        <c:majorTickMark val="none"/>
        <c:minorTickMark val="none"/>
        <c:tickLblPos val="nextTo"/>
        <c:spPr>
          <a:ln w="9525">
            <a:noFill/>
          </a:ln>
        </c:spPr>
        <c:crossAx val="185677824"/>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E.V.T./E.V.</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2'!$AB$7:$AB$8</c:f>
              <c:strCache>
                <c:ptCount val="1"/>
                <c:pt idx="0">
                  <c:v>2006/07</c:v>
                </c:pt>
              </c:strCache>
            </c:strRef>
          </c:tx>
          <c:spPr>
            <a:solidFill>
              <a:srgbClr val="FF0000"/>
            </a:solidFill>
          </c:spPr>
          <c:invertIfNegative val="0"/>
          <c:cat>
            <c:strRef>
              <c:f>'TRIÉNIO 2'!$AA$9:$AA$12</c:f>
              <c:strCache>
                <c:ptCount val="4"/>
                <c:pt idx="0">
                  <c:v>5º</c:v>
                </c:pt>
                <c:pt idx="1">
                  <c:v>6º</c:v>
                </c:pt>
                <c:pt idx="2">
                  <c:v>7º</c:v>
                </c:pt>
                <c:pt idx="3">
                  <c:v>8º</c:v>
                </c:pt>
              </c:strCache>
            </c:strRef>
          </c:cat>
          <c:val>
            <c:numRef>
              <c:f>('TRIÉNIO 2'!$AB$9,'TRIÉNIO 2'!$AB$10,'TRIÉNIO 2'!$AB$11,'TRIÉNIO 2'!$AB$12)</c:f>
              <c:numCache>
                <c:formatCode>0.0%</c:formatCode>
                <c:ptCount val="4"/>
                <c:pt idx="0">
                  <c:v>0.13100000000000001</c:v>
                </c:pt>
                <c:pt idx="1">
                  <c:v>5.0999999999999997E-2</c:v>
                </c:pt>
                <c:pt idx="2">
                  <c:v>0.10299999999999999</c:v>
                </c:pt>
                <c:pt idx="3">
                  <c:v>8.5000000000000006E-2</c:v>
                </c:pt>
              </c:numCache>
            </c:numRef>
          </c:val>
        </c:ser>
        <c:ser>
          <c:idx val="1"/>
          <c:order val="1"/>
          <c:tx>
            <c:strRef>
              <c:f>'TRIÉNIO 2'!$AC$7:$AC$8</c:f>
              <c:strCache>
                <c:ptCount val="1"/>
                <c:pt idx="0">
                  <c:v>2007/08</c:v>
                </c:pt>
              </c:strCache>
            </c:strRef>
          </c:tx>
          <c:spPr>
            <a:solidFill>
              <a:srgbClr val="00FF00"/>
            </a:solidFill>
          </c:spPr>
          <c:invertIfNegative val="0"/>
          <c:cat>
            <c:strRef>
              <c:f>'TRIÉNIO 2'!$AA$9:$AA$12</c:f>
              <c:strCache>
                <c:ptCount val="4"/>
                <c:pt idx="0">
                  <c:v>5º</c:v>
                </c:pt>
                <c:pt idx="1">
                  <c:v>6º</c:v>
                </c:pt>
                <c:pt idx="2">
                  <c:v>7º</c:v>
                </c:pt>
                <c:pt idx="3">
                  <c:v>8º</c:v>
                </c:pt>
              </c:strCache>
            </c:strRef>
          </c:cat>
          <c:val>
            <c:numRef>
              <c:f>('TRIÉNIO 2'!$AC$9,'TRIÉNIO 2'!$AC$10,'TRIÉNIO 2'!$AC$11,'TRIÉNIO 2'!$AC$12)</c:f>
              <c:numCache>
                <c:formatCode>0.0%</c:formatCode>
                <c:ptCount val="4"/>
                <c:pt idx="0">
                  <c:v>0.1333333333333333</c:v>
                </c:pt>
                <c:pt idx="1">
                  <c:v>8.8757396449704151E-2</c:v>
                </c:pt>
                <c:pt idx="2">
                  <c:v>5.4878048780487854E-2</c:v>
                </c:pt>
                <c:pt idx="3">
                  <c:v>3.2000000000000028E-2</c:v>
                </c:pt>
              </c:numCache>
            </c:numRef>
          </c:val>
        </c:ser>
        <c:ser>
          <c:idx val="2"/>
          <c:order val="2"/>
          <c:tx>
            <c:strRef>
              <c:f>'TRIÉNIO 2'!$AD$7:$AD$8</c:f>
              <c:strCache>
                <c:ptCount val="1"/>
                <c:pt idx="0">
                  <c:v>2008/09</c:v>
                </c:pt>
              </c:strCache>
            </c:strRef>
          </c:tx>
          <c:spPr>
            <a:solidFill>
              <a:srgbClr val="00CCFF"/>
            </a:solidFill>
          </c:spPr>
          <c:invertIfNegative val="0"/>
          <c:cat>
            <c:strRef>
              <c:f>'TRIÉNIO 2'!$AA$9:$AA$12</c:f>
              <c:strCache>
                <c:ptCount val="4"/>
                <c:pt idx="0">
                  <c:v>5º</c:v>
                </c:pt>
                <c:pt idx="1">
                  <c:v>6º</c:v>
                </c:pt>
                <c:pt idx="2">
                  <c:v>7º</c:v>
                </c:pt>
                <c:pt idx="3">
                  <c:v>8º</c:v>
                </c:pt>
              </c:strCache>
            </c:strRef>
          </c:cat>
          <c:val>
            <c:numRef>
              <c:f>('TRIÉNIO 2'!$AD$9,'TRIÉNIO 2'!$AD$10,'TRIÉNIO 2'!$AD$11,'TRIÉNIO 2'!$AD$12)</c:f>
              <c:numCache>
                <c:formatCode>0.0%</c:formatCode>
                <c:ptCount val="4"/>
                <c:pt idx="0">
                  <c:v>0.17293233082706772</c:v>
                </c:pt>
                <c:pt idx="1">
                  <c:v>0.10317460317460314</c:v>
                </c:pt>
                <c:pt idx="2">
                  <c:v>0.12345679012345678</c:v>
                </c:pt>
                <c:pt idx="3">
                  <c:v>6.6666666666666652E-2</c:v>
                </c:pt>
              </c:numCache>
            </c:numRef>
          </c:val>
        </c:ser>
        <c:dLbls>
          <c:showLegendKey val="0"/>
          <c:showVal val="0"/>
          <c:showCatName val="0"/>
          <c:showSerName val="0"/>
          <c:showPercent val="0"/>
          <c:showBubbleSize val="0"/>
        </c:dLbls>
        <c:gapWidth val="75"/>
        <c:shape val="box"/>
        <c:axId val="179221504"/>
        <c:axId val="175782080"/>
        <c:axId val="0"/>
      </c:bar3DChart>
      <c:catAx>
        <c:axId val="179221504"/>
        <c:scaling>
          <c:orientation val="minMax"/>
        </c:scaling>
        <c:delete val="0"/>
        <c:axPos val="b"/>
        <c:majorTickMark val="none"/>
        <c:minorTickMark val="none"/>
        <c:tickLblPos val="nextTo"/>
        <c:crossAx val="175782080"/>
        <c:crosses val="autoZero"/>
        <c:auto val="1"/>
        <c:lblAlgn val="ctr"/>
        <c:lblOffset val="100"/>
        <c:noMultiLvlLbl val="0"/>
      </c:catAx>
      <c:valAx>
        <c:axId val="175782080"/>
        <c:scaling>
          <c:orientation val="minMax"/>
          <c:max val="1"/>
        </c:scaling>
        <c:delete val="0"/>
        <c:axPos val="l"/>
        <c:majorGridlines/>
        <c:numFmt formatCode="0%" sourceLinked="0"/>
        <c:majorTickMark val="none"/>
        <c:minorTickMark val="none"/>
        <c:tickLblPos val="nextTo"/>
        <c:spPr>
          <a:ln w="9525">
            <a:noFill/>
          </a:ln>
        </c:spPr>
        <c:crossAx val="179221504"/>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Ed. Musical/Ed. Artística</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3170896637773691"/>
          <c:y val="0.21481040479696251"/>
          <c:w val="0.84379408898921582"/>
          <c:h val="0.54505593777521999"/>
        </c:manualLayout>
      </c:layout>
      <c:bar3DChart>
        <c:barDir val="col"/>
        <c:grouping val="clustered"/>
        <c:varyColors val="0"/>
        <c:ser>
          <c:idx val="0"/>
          <c:order val="0"/>
          <c:tx>
            <c:strRef>
              <c:f>'TRIÉNIO 2'!$AE$7:$AE$8</c:f>
              <c:strCache>
                <c:ptCount val="1"/>
                <c:pt idx="0">
                  <c:v>2006/07</c:v>
                </c:pt>
              </c:strCache>
            </c:strRef>
          </c:tx>
          <c:spPr>
            <a:solidFill>
              <a:srgbClr val="FF0000"/>
            </a:solidFill>
          </c:spPr>
          <c:invertIfNegative val="0"/>
          <c:cat>
            <c:strRef>
              <c:f>'TRIÉNIO 2'!$AA$9:$AA$13</c:f>
              <c:strCache>
                <c:ptCount val="5"/>
                <c:pt idx="0">
                  <c:v>5º</c:v>
                </c:pt>
                <c:pt idx="1">
                  <c:v>6º</c:v>
                </c:pt>
                <c:pt idx="2">
                  <c:v>7º</c:v>
                </c:pt>
                <c:pt idx="3">
                  <c:v>8º</c:v>
                </c:pt>
                <c:pt idx="4">
                  <c:v>9º</c:v>
                </c:pt>
              </c:strCache>
            </c:strRef>
          </c:cat>
          <c:val>
            <c:numRef>
              <c:f>('TRIÉNIO 2'!$AE$9,'TRIÉNIO 2'!$AE$10,'TRIÉNIO 2'!$AE$11,'TRIÉNIO 2'!$AE$12,'TRIÉNIO 2'!$AE$13)</c:f>
              <c:numCache>
                <c:formatCode>0.0%</c:formatCode>
                <c:ptCount val="5"/>
                <c:pt idx="0">
                  <c:v>0.189</c:v>
                </c:pt>
                <c:pt idx="1">
                  <c:v>0.13700000000000001</c:v>
                </c:pt>
                <c:pt idx="2">
                  <c:v>0.16400000000000001</c:v>
                </c:pt>
                <c:pt idx="3">
                  <c:v>3.5000000000000003E-2</c:v>
                </c:pt>
                <c:pt idx="4">
                  <c:v>2.1999999999999999E-2</c:v>
                </c:pt>
              </c:numCache>
            </c:numRef>
          </c:val>
        </c:ser>
        <c:ser>
          <c:idx val="1"/>
          <c:order val="1"/>
          <c:tx>
            <c:strRef>
              <c:f>'TRIÉNIO 2'!$AF$7:$AF$8</c:f>
              <c:strCache>
                <c:ptCount val="1"/>
                <c:pt idx="0">
                  <c:v>2007/08</c:v>
                </c:pt>
              </c:strCache>
            </c:strRef>
          </c:tx>
          <c:spPr>
            <a:solidFill>
              <a:srgbClr val="00FF00"/>
            </a:solidFill>
          </c:spPr>
          <c:invertIfNegative val="0"/>
          <c:cat>
            <c:strRef>
              <c:f>'TRIÉNIO 2'!$AA$9:$AA$13</c:f>
              <c:strCache>
                <c:ptCount val="5"/>
                <c:pt idx="0">
                  <c:v>5º</c:v>
                </c:pt>
                <c:pt idx="1">
                  <c:v>6º</c:v>
                </c:pt>
                <c:pt idx="2">
                  <c:v>7º</c:v>
                </c:pt>
                <c:pt idx="3">
                  <c:v>8º</c:v>
                </c:pt>
                <c:pt idx="4">
                  <c:v>9º</c:v>
                </c:pt>
              </c:strCache>
            </c:strRef>
          </c:cat>
          <c:val>
            <c:numRef>
              <c:f>('TRIÉNIO 2'!$AF$9,'TRIÉNIO 2'!$AF$10,'TRIÉNIO 2'!$AF$11,'TRIÉNIO 2'!$AF$12,'TRIÉNIO 2'!$AF$13)</c:f>
              <c:numCache>
                <c:formatCode>0.0%</c:formatCode>
                <c:ptCount val="5"/>
                <c:pt idx="0">
                  <c:v>0.22666666666666668</c:v>
                </c:pt>
                <c:pt idx="1">
                  <c:v>0.12426035502958577</c:v>
                </c:pt>
                <c:pt idx="2">
                  <c:v>6.0975609756097615E-2</c:v>
                </c:pt>
                <c:pt idx="3">
                  <c:v>1.6000000000000014E-2</c:v>
                </c:pt>
                <c:pt idx="4">
                  <c:v>2.6548672566371723E-2</c:v>
                </c:pt>
              </c:numCache>
            </c:numRef>
          </c:val>
        </c:ser>
        <c:ser>
          <c:idx val="2"/>
          <c:order val="2"/>
          <c:tx>
            <c:strRef>
              <c:f>'TRIÉNIO 2'!$AG$7:$AG$8</c:f>
              <c:strCache>
                <c:ptCount val="1"/>
                <c:pt idx="0">
                  <c:v>2008/09</c:v>
                </c:pt>
              </c:strCache>
            </c:strRef>
          </c:tx>
          <c:spPr>
            <a:solidFill>
              <a:srgbClr val="00CCFF"/>
            </a:solidFill>
          </c:spPr>
          <c:invertIfNegative val="0"/>
          <c:cat>
            <c:strRef>
              <c:f>'TRIÉNIO 2'!$AA$9:$AA$13</c:f>
              <c:strCache>
                <c:ptCount val="5"/>
                <c:pt idx="0">
                  <c:v>5º</c:v>
                </c:pt>
                <c:pt idx="1">
                  <c:v>6º</c:v>
                </c:pt>
                <c:pt idx="2">
                  <c:v>7º</c:v>
                </c:pt>
                <c:pt idx="3">
                  <c:v>8º</c:v>
                </c:pt>
                <c:pt idx="4">
                  <c:v>9º</c:v>
                </c:pt>
              </c:strCache>
            </c:strRef>
          </c:cat>
          <c:val>
            <c:numRef>
              <c:f>('TRIÉNIO 2'!$AG$9,'TRIÉNIO 2'!$AG$10,'TRIÉNIO 2'!$AG$11,'TRIÉNIO 2'!$AG$12,'TRIÉNIO 2'!$AG$13)</c:f>
              <c:numCache>
                <c:formatCode>0.0%</c:formatCode>
                <c:ptCount val="5"/>
                <c:pt idx="0">
                  <c:v>0.19548872180451127</c:v>
                </c:pt>
                <c:pt idx="1">
                  <c:v>0.18253968253968256</c:v>
                </c:pt>
                <c:pt idx="2">
                  <c:v>0.11728395061728392</c:v>
                </c:pt>
                <c:pt idx="3">
                  <c:v>5.0000000000000044E-2</c:v>
                </c:pt>
                <c:pt idx="4">
                  <c:v>0</c:v>
                </c:pt>
              </c:numCache>
            </c:numRef>
          </c:val>
        </c:ser>
        <c:dLbls>
          <c:showLegendKey val="0"/>
          <c:showVal val="0"/>
          <c:showCatName val="0"/>
          <c:showSerName val="0"/>
          <c:showPercent val="0"/>
          <c:showBubbleSize val="0"/>
        </c:dLbls>
        <c:gapWidth val="75"/>
        <c:shape val="box"/>
        <c:axId val="185679360"/>
        <c:axId val="176906816"/>
        <c:axId val="0"/>
      </c:bar3DChart>
      <c:catAx>
        <c:axId val="185679360"/>
        <c:scaling>
          <c:orientation val="minMax"/>
        </c:scaling>
        <c:delete val="0"/>
        <c:axPos val="b"/>
        <c:majorTickMark val="none"/>
        <c:minorTickMark val="none"/>
        <c:tickLblPos val="nextTo"/>
        <c:crossAx val="176906816"/>
        <c:crosses val="autoZero"/>
        <c:auto val="1"/>
        <c:lblAlgn val="ctr"/>
        <c:lblOffset val="100"/>
        <c:noMultiLvlLbl val="0"/>
      </c:catAx>
      <c:valAx>
        <c:axId val="176906816"/>
        <c:scaling>
          <c:orientation val="minMax"/>
          <c:max val="1"/>
        </c:scaling>
        <c:delete val="0"/>
        <c:axPos val="l"/>
        <c:majorGridlines/>
        <c:numFmt formatCode="0%" sourceLinked="0"/>
        <c:majorTickMark val="none"/>
        <c:minorTickMark val="none"/>
        <c:tickLblPos val="nextTo"/>
        <c:spPr>
          <a:ln w="9525">
            <a:noFill/>
          </a:ln>
        </c:spPr>
        <c:crossAx val="185679360"/>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Ed. Física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2'!$AK$7:$AK$8</c:f>
              <c:strCache>
                <c:ptCount val="1"/>
                <c:pt idx="0">
                  <c:v>2006/07</c:v>
                </c:pt>
              </c:strCache>
            </c:strRef>
          </c:tx>
          <c:spPr>
            <a:solidFill>
              <a:srgbClr val="FF0000"/>
            </a:solidFill>
          </c:spPr>
          <c:invertIfNegative val="0"/>
          <c:cat>
            <c:strRef>
              <c:f>'TRIÉNIO 2'!$AA$9:$AA$13</c:f>
              <c:strCache>
                <c:ptCount val="5"/>
                <c:pt idx="0">
                  <c:v>5º</c:v>
                </c:pt>
                <c:pt idx="1">
                  <c:v>6º</c:v>
                </c:pt>
                <c:pt idx="2">
                  <c:v>7º</c:v>
                </c:pt>
                <c:pt idx="3">
                  <c:v>8º</c:v>
                </c:pt>
                <c:pt idx="4">
                  <c:v>9º</c:v>
                </c:pt>
              </c:strCache>
            </c:strRef>
          </c:cat>
          <c:val>
            <c:numRef>
              <c:f>('TRIÉNIO 2'!$AK$9,'TRIÉNIO 2'!$AK$10,'TRIÉNIO 2'!$AK$11,'TRIÉNIO 2'!$AK$12,'TRIÉNIO 2'!$AK$13)</c:f>
              <c:numCache>
                <c:formatCode>0.0%</c:formatCode>
                <c:ptCount val="5"/>
                <c:pt idx="0">
                  <c:v>0.08</c:v>
                </c:pt>
                <c:pt idx="1">
                  <c:v>9.7000000000000003E-2</c:v>
                </c:pt>
                <c:pt idx="2">
                  <c:v>8.5000000000000006E-2</c:v>
                </c:pt>
                <c:pt idx="3">
                  <c:v>2.1000000000000001E-2</c:v>
                </c:pt>
                <c:pt idx="4">
                  <c:v>3.4000000000000002E-2</c:v>
                </c:pt>
              </c:numCache>
            </c:numRef>
          </c:val>
        </c:ser>
        <c:ser>
          <c:idx val="1"/>
          <c:order val="1"/>
          <c:tx>
            <c:strRef>
              <c:f>'TRIÉNIO 2'!$AL$7:$AL$8</c:f>
              <c:strCache>
                <c:ptCount val="1"/>
                <c:pt idx="0">
                  <c:v>2007/08</c:v>
                </c:pt>
              </c:strCache>
            </c:strRef>
          </c:tx>
          <c:spPr>
            <a:solidFill>
              <a:srgbClr val="00FF00"/>
            </a:solidFill>
          </c:spPr>
          <c:invertIfNegative val="0"/>
          <c:cat>
            <c:strRef>
              <c:f>'TRIÉNIO 2'!$AA$9:$AA$13</c:f>
              <c:strCache>
                <c:ptCount val="5"/>
                <c:pt idx="0">
                  <c:v>5º</c:v>
                </c:pt>
                <c:pt idx="1">
                  <c:v>6º</c:v>
                </c:pt>
                <c:pt idx="2">
                  <c:v>7º</c:v>
                </c:pt>
                <c:pt idx="3">
                  <c:v>8º</c:v>
                </c:pt>
                <c:pt idx="4">
                  <c:v>9º</c:v>
                </c:pt>
              </c:strCache>
            </c:strRef>
          </c:cat>
          <c:val>
            <c:numRef>
              <c:f>('TRIÉNIO 2'!$AL$9,'TRIÉNIO 2'!$AL$10,'TRIÉNIO 2'!$AL$11,'TRIÉNIO 2'!$AL$12,'TRIÉNIO 2'!$AL$13)</c:f>
              <c:numCache>
                <c:formatCode>0.0%</c:formatCode>
                <c:ptCount val="5"/>
                <c:pt idx="0">
                  <c:v>9.9999999999999978E-2</c:v>
                </c:pt>
                <c:pt idx="1">
                  <c:v>3.5502958579881616E-2</c:v>
                </c:pt>
                <c:pt idx="2">
                  <c:v>1.8292682926829285E-2</c:v>
                </c:pt>
                <c:pt idx="3">
                  <c:v>2.4000000000000021E-2</c:v>
                </c:pt>
                <c:pt idx="4">
                  <c:v>4.4247787610619427E-2</c:v>
                </c:pt>
              </c:numCache>
            </c:numRef>
          </c:val>
        </c:ser>
        <c:ser>
          <c:idx val="2"/>
          <c:order val="2"/>
          <c:tx>
            <c:strRef>
              <c:f>'TRIÉNIO 2'!$AM$7:$AM$8</c:f>
              <c:strCache>
                <c:ptCount val="1"/>
                <c:pt idx="0">
                  <c:v>2008/09</c:v>
                </c:pt>
              </c:strCache>
            </c:strRef>
          </c:tx>
          <c:spPr>
            <a:solidFill>
              <a:srgbClr val="00CCFF"/>
            </a:solidFill>
          </c:spPr>
          <c:invertIfNegative val="0"/>
          <c:cat>
            <c:strRef>
              <c:f>'TRIÉNIO 2'!$AA$9:$AA$13</c:f>
              <c:strCache>
                <c:ptCount val="5"/>
                <c:pt idx="0">
                  <c:v>5º</c:v>
                </c:pt>
                <c:pt idx="1">
                  <c:v>6º</c:v>
                </c:pt>
                <c:pt idx="2">
                  <c:v>7º</c:v>
                </c:pt>
                <c:pt idx="3">
                  <c:v>8º</c:v>
                </c:pt>
                <c:pt idx="4">
                  <c:v>9º</c:v>
                </c:pt>
              </c:strCache>
            </c:strRef>
          </c:cat>
          <c:val>
            <c:numRef>
              <c:f>('TRIÉNIO 2'!$AM$9,'TRIÉNIO 2'!$AM$10,'TRIÉNIO 2'!$AM$11,'TRIÉNIO 2'!$AM$12,'TRIÉNIO 2'!$AM$13)</c:f>
              <c:numCache>
                <c:formatCode>0.0%</c:formatCode>
                <c:ptCount val="5"/>
                <c:pt idx="0">
                  <c:v>9.7744360902255689E-2</c:v>
                </c:pt>
                <c:pt idx="1">
                  <c:v>8.7301587301587324E-2</c:v>
                </c:pt>
                <c:pt idx="2">
                  <c:v>2.4691358024691357E-2</c:v>
                </c:pt>
                <c:pt idx="3">
                  <c:v>1.6666666666666718E-2</c:v>
                </c:pt>
                <c:pt idx="4">
                  <c:v>4.2372881355932202E-2</c:v>
                </c:pt>
              </c:numCache>
            </c:numRef>
          </c:val>
        </c:ser>
        <c:dLbls>
          <c:showLegendKey val="0"/>
          <c:showVal val="0"/>
          <c:showCatName val="0"/>
          <c:showSerName val="0"/>
          <c:showPercent val="0"/>
          <c:showBubbleSize val="0"/>
        </c:dLbls>
        <c:gapWidth val="75"/>
        <c:shape val="box"/>
        <c:axId val="185678848"/>
        <c:axId val="176909696"/>
        <c:axId val="0"/>
      </c:bar3DChart>
      <c:catAx>
        <c:axId val="185678848"/>
        <c:scaling>
          <c:orientation val="minMax"/>
        </c:scaling>
        <c:delete val="0"/>
        <c:axPos val="b"/>
        <c:majorTickMark val="none"/>
        <c:minorTickMark val="none"/>
        <c:tickLblPos val="nextTo"/>
        <c:crossAx val="176909696"/>
        <c:crosses val="autoZero"/>
        <c:auto val="1"/>
        <c:lblAlgn val="ctr"/>
        <c:lblOffset val="100"/>
        <c:noMultiLvlLbl val="0"/>
      </c:catAx>
      <c:valAx>
        <c:axId val="176909696"/>
        <c:scaling>
          <c:orientation val="minMax"/>
          <c:max val="1"/>
        </c:scaling>
        <c:delete val="0"/>
        <c:axPos val="l"/>
        <c:majorGridlines/>
        <c:numFmt formatCode="0%" sourceLinked="0"/>
        <c:majorTickMark val="none"/>
        <c:minorTickMark val="none"/>
        <c:tickLblPos val="nextTo"/>
        <c:spPr>
          <a:ln w="9525">
            <a:noFill/>
          </a:ln>
        </c:spPr>
        <c:crossAx val="185678848"/>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 de Projecto</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2'!$AO$7:$AO$8</c:f>
              <c:strCache>
                <c:ptCount val="1"/>
                <c:pt idx="0">
                  <c:v>2006/07</c:v>
                </c:pt>
              </c:strCache>
            </c:strRef>
          </c:tx>
          <c:spPr>
            <a:solidFill>
              <a:srgbClr val="FF0000"/>
            </a:solidFill>
          </c:spPr>
          <c:invertIfNegative val="0"/>
          <c:cat>
            <c:strRef>
              <c:f>'TRIÉNIO 2'!$AN$9:$AN$13</c:f>
              <c:strCache>
                <c:ptCount val="5"/>
                <c:pt idx="0">
                  <c:v>5º</c:v>
                </c:pt>
                <c:pt idx="1">
                  <c:v>6º</c:v>
                </c:pt>
                <c:pt idx="2">
                  <c:v>7º</c:v>
                </c:pt>
                <c:pt idx="3">
                  <c:v>8º</c:v>
                </c:pt>
                <c:pt idx="4">
                  <c:v>9º</c:v>
                </c:pt>
              </c:strCache>
            </c:strRef>
          </c:cat>
          <c:val>
            <c:numRef>
              <c:f>('TRIÉNIO 2'!$AO$9,'TRIÉNIO 2'!$AO$10,'TRIÉNIO 2'!$AO$11,'TRIÉNIO 2'!$AO$12,'TRIÉNIO 2'!$AO$13)</c:f>
              <c:numCache>
                <c:formatCode>0.0%</c:formatCode>
                <c:ptCount val="5"/>
                <c:pt idx="0">
                  <c:v>0.13700000000000001</c:v>
                </c:pt>
                <c:pt idx="1">
                  <c:v>0.12</c:v>
                </c:pt>
                <c:pt idx="2">
                  <c:v>9.0999999999999998E-2</c:v>
                </c:pt>
                <c:pt idx="3">
                  <c:v>0</c:v>
                </c:pt>
                <c:pt idx="4">
                  <c:v>1.0999999999999999E-2</c:v>
                </c:pt>
              </c:numCache>
            </c:numRef>
          </c:val>
        </c:ser>
        <c:ser>
          <c:idx val="1"/>
          <c:order val="1"/>
          <c:tx>
            <c:strRef>
              <c:f>'TRIÉNIO 2'!$AP$7:$AP$8</c:f>
              <c:strCache>
                <c:ptCount val="1"/>
                <c:pt idx="0">
                  <c:v>2007/08</c:v>
                </c:pt>
              </c:strCache>
            </c:strRef>
          </c:tx>
          <c:spPr>
            <a:solidFill>
              <a:srgbClr val="00FF00"/>
            </a:solidFill>
          </c:spPr>
          <c:invertIfNegative val="0"/>
          <c:cat>
            <c:strRef>
              <c:f>'TRIÉNIO 2'!$AN$9:$AN$13</c:f>
              <c:strCache>
                <c:ptCount val="5"/>
                <c:pt idx="0">
                  <c:v>5º</c:v>
                </c:pt>
                <c:pt idx="1">
                  <c:v>6º</c:v>
                </c:pt>
                <c:pt idx="2">
                  <c:v>7º</c:v>
                </c:pt>
                <c:pt idx="3">
                  <c:v>8º</c:v>
                </c:pt>
                <c:pt idx="4">
                  <c:v>9º</c:v>
                </c:pt>
              </c:strCache>
            </c:strRef>
          </c:cat>
          <c:val>
            <c:numRef>
              <c:f>('TRIÉNIO 2'!$AP$9,'TRIÉNIO 2'!$AP$10,'TRIÉNIO 2'!$AP$11,'TRIÉNIO 2'!$AP$12,'TRIÉNIO 2'!$AP$13)</c:f>
              <c:numCache>
                <c:formatCode>0.0%</c:formatCode>
                <c:ptCount val="5"/>
                <c:pt idx="0">
                  <c:v>0.13333333333333333</c:v>
                </c:pt>
                <c:pt idx="1">
                  <c:v>0.11834319526627218</c:v>
                </c:pt>
                <c:pt idx="2">
                  <c:v>1.2195121951219513E-2</c:v>
                </c:pt>
                <c:pt idx="3">
                  <c:v>0</c:v>
                </c:pt>
                <c:pt idx="4">
                  <c:v>1.7699115044247787E-2</c:v>
                </c:pt>
              </c:numCache>
            </c:numRef>
          </c:val>
        </c:ser>
        <c:ser>
          <c:idx val="2"/>
          <c:order val="2"/>
          <c:tx>
            <c:strRef>
              <c:f>'TRIÉNIO 2'!$AQ$7:$AQ$8</c:f>
              <c:strCache>
                <c:ptCount val="1"/>
                <c:pt idx="0">
                  <c:v>2008/09</c:v>
                </c:pt>
              </c:strCache>
            </c:strRef>
          </c:tx>
          <c:spPr>
            <a:solidFill>
              <a:srgbClr val="00CCFF"/>
            </a:solidFill>
          </c:spPr>
          <c:invertIfNegative val="0"/>
          <c:cat>
            <c:strRef>
              <c:f>'TRIÉNIO 2'!$AN$9:$AN$13</c:f>
              <c:strCache>
                <c:ptCount val="5"/>
                <c:pt idx="0">
                  <c:v>5º</c:v>
                </c:pt>
                <c:pt idx="1">
                  <c:v>6º</c:v>
                </c:pt>
                <c:pt idx="2">
                  <c:v>7º</c:v>
                </c:pt>
                <c:pt idx="3">
                  <c:v>8º</c:v>
                </c:pt>
                <c:pt idx="4">
                  <c:v>9º</c:v>
                </c:pt>
              </c:strCache>
            </c:strRef>
          </c:cat>
          <c:val>
            <c:numRef>
              <c:f>('TRIÉNIO 2'!$AQ$9,'TRIÉNIO 2'!$AQ$10,'TRIÉNIO 2'!$AQ$11,'TRIÉNIO 2'!$AQ$12,'TRIÉNIO 2'!$AQ$13)</c:f>
              <c:numCache>
                <c:formatCode>0.0%</c:formatCode>
                <c:ptCount val="5"/>
                <c:pt idx="0">
                  <c:v>0.17293233082706766</c:v>
                </c:pt>
                <c:pt idx="1">
                  <c:v>0.1111111111111111</c:v>
                </c:pt>
                <c:pt idx="2">
                  <c:v>9.2592592592592587E-2</c:v>
                </c:pt>
                <c:pt idx="3">
                  <c:v>1.6666666666666666E-2</c:v>
                </c:pt>
                <c:pt idx="4">
                  <c:v>1.6949152542372881E-2</c:v>
                </c:pt>
              </c:numCache>
            </c:numRef>
          </c:val>
        </c:ser>
        <c:dLbls>
          <c:showLegendKey val="0"/>
          <c:showVal val="0"/>
          <c:showCatName val="0"/>
          <c:showSerName val="0"/>
          <c:showPercent val="0"/>
          <c:showBubbleSize val="0"/>
        </c:dLbls>
        <c:gapWidth val="75"/>
        <c:shape val="box"/>
        <c:axId val="186023936"/>
        <c:axId val="176911424"/>
        <c:axId val="0"/>
      </c:bar3DChart>
      <c:catAx>
        <c:axId val="186023936"/>
        <c:scaling>
          <c:orientation val="minMax"/>
        </c:scaling>
        <c:delete val="0"/>
        <c:axPos val="b"/>
        <c:majorTickMark val="none"/>
        <c:minorTickMark val="none"/>
        <c:tickLblPos val="nextTo"/>
        <c:crossAx val="176911424"/>
        <c:crosses val="autoZero"/>
        <c:auto val="1"/>
        <c:lblAlgn val="ctr"/>
        <c:lblOffset val="100"/>
        <c:noMultiLvlLbl val="0"/>
      </c:catAx>
      <c:valAx>
        <c:axId val="176911424"/>
        <c:scaling>
          <c:orientation val="minMax"/>
          <c:max val="1"/>
        </c:scaling>
        <c:delete val="0"/>
        <c:axPos val="l"/>
        <c:majorGridlines/>
        <c:numFmt formatCode="0%" sourceLinked="0"/>
        <c:majorTickMark val="none"/>
        <c:minorTickMark val="none"/>
        <c:tickLblPos val="nextTo"/>
        <c:spPr>
          <a:ln w="9525">
            <a:noFill/>
          </a:ln>
        </c:spPr>
        <c:crossAx val="186023936"/>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Estudo Acompanhado</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2696228760878575"/>
          <c:y val="0.21915395341207394"/>
          <c:w val="0.87303771239121464"/>
          <c:h val="0.5878704393043267"/>
        </c:manualLayout>
      </c:layout>
      <c:bar3DChart>
        <c:barDir val="col"/>
        <c:grouping val="clustered"/>
        <c:varyColors val="0"/>
        <c:ser>
          <c:idx val="0"/>
          <c:order val="0"/>
          <c:tx>
            <c:strRef>
              <c:f>'TRIÉNIO 2'!$AR$7:$AR$8</c:f>
              <c:strCache>
                <c:ptCount val="1"/>
                <c:pt idx="0">
                  <c:v>2006/07</c:v>
                </c:pt>
              </c:strCache>
            </c:strRef>
          </c:tx>
          <c:spPr>
            <a:solidFill>
              <a:srgbClr val="FF0000"/>
            </a:solidFill>
          </c:spPr>
          <c:invertIfNegative val="0"/>
          <c:cat>
            <c:strRef>
              <c:f>'TRIÉNIO 2'!$AN$9:$AN$13</c:f>
              <c:strCache>
                <c:ptCount val="5"/>
                <c:pt idx="0">
                  <c:v>5º</c:v>
                </c:pt>
                <c:pt idx="1">
                  <c:v>6º</c:v>
                </c:pt>
                <c:pt idx="2">
                  <c:v>7º</c:v>
                </c:pt>
                <c:pt idx="3">
                  <c:v>8º</c:v>
                </c:pt>
                <c:pt idx="4">
                  <c:v>9º</c:v>
                </c:pt>
              </c:strCache>
            </c:strRef>
          </c:cat>
          <c:val>
            <c:numRef>
              <c:f>('TRIÉNIO 2'!$AR$9,'TRIÉNIO 2'!$AR$10,'TRIÉNIO 2'!$AR$11,'TRIÉNIO 2'!$AR$12,'TRIÉNIO 2'!$AR$13)</c:f>
              <c:numCache>
                <c:formatCode>0.0%</c:formatCode>
                <c:ptCount val="5"/>
                <c:pt idx="0">
                  <c:v>0.19400000000000001</c:v>
                </c:pt>
                <c:pt idx="1">
                  <c:v>9.7000000000000003E-2</c:v>
                </c:pt>
                <c:pt idx="2">
                  <c:v>0.13900000000000001</c:v>
                </c:pt>
                <c:pt idx="3">
                  <c:v>7.0000000000000001E-3</c:v>
                </c:pt>
                <c:pt idx="4">
                  <c:v>5.6000000000000001E-2</c:v>
                </c:pt>
              </c:numCache>
            </c:numRef>
          </c:val>
        </c:ser>
        <c:ser>
          <c:idx val="1"/>
          <c:order val="1"/>
          <c:tx>
            <c:strRef>
              <c:f>'TRIÉNIO 2'!$AS$7:$AS$8</c:f>
              <c:strCache>
                <c:ptCount val="1"/>
                <c:pt idx="0">
                  <c:v>2007/08</c:v>
                </c:pt>
              </c:strCache>
            </c:strRef>
          </c:tx>
          <c:spPr>
            <a:solidFill>
              <a:srgbClr val="00FF00"/>
            </a:solidFill>
          </c:spPr>
          <c:invertIfNegative val="0"/>
          <c:cat>
            <c:strRef>
              <c:f>'TRIÉNIO 2'!$AN$9:$AN$13</c:f>
              <c:strCache>
                <c:ptCount val="5"/>
                <c:pt idx="0">
                  <c:v>5º</c:v>
                </c:pt>
                <c:pt idx="1">
                  <c:v>6º</c:v>
                </c:pt>
                <c:pt idx="2">
                  <c:v>7º</c:v>
                </c:pt>
                <c:pt idx="3">
                  <c:v>8º</c:v>
                </c:pt>
                <c:pt idx="4">
                  <c:v>9º</c:v>
                </c:pt>
              </c:strCache>
            </c:strRef>
          </c:cat>
          <c:val>
            <c:numRef>
              <c:f>('TRIÉNIO 2'!$AS$9,'TRIÉNIO 2'!$AS$10,'TRIÉNIO 2'!$AS$11,'TRIÉNIO 2'!$AS$12,'TRIÉNIO 2'!$AS$13)</c:f>
              <c:numCache>
                <c:formatCode>0.0%</c:formatCode>
                <c:ptCount val="5"/>
                <c:pt idx="0">
                  <c:v>0.22666666666666666</c:v>
                </c:pt>
                <c:pt idx="1">
                  <c:v>0.10059171597633136</c:v>
                </c:pt>
                <c:pt idx="2">
                  <c:v>7.3170731707317069E-2</c:v>
                </c:pt>
                <c:pt idx="3">
                  <c:v>0</c:v>
                </c:pt>
                <c:pt idx="4">
                  <c:v>1.7699115044247787E-2</c:v>
                </c:pt>
              </c:numCache>
            </c:numRef>
          </c:val>
        </c:ser>
        <c:ser>
          <c:idx val="2"/>
          <c:order val="2"/>
          <c:tx>
            <c:strRef>
              <c:f>'TRIÉNIO 2'!$AT$7:$AT$8</c:f>
              <c:strCache>
                <c:ptCount val="1"/>
                <c:pt idx="0">
                  <c:v>2008/09</c:v>
                </c:pt>
              </c:strCache>
            </c:strRef>
          </c:tx>
          <c:spPr>
            <a:solidFill>
              <a:srgbClr val="00CCFF"/>
            </a:solidFill>
          </c:spPr>
          <c:invertIfNegative val="0"/>
          <c:cat>
            <c:strRef>
              <c:f>'TRIÉNIO 2'!$AN$9:$AN$13</c:f>
              <c:strCache>
                <c:ptCount val="5"/>
                <c:pt idx="0">
                  <c:v>5º</c:v>
                </c:pt>
                <c:pt idx="1">
                  <c:v>6º</c:v>
                </c:pt>
                <c:pt idx="2">
                  <c:v>7º</c:v>
                </c:pt>
                <c:pt idx="3">
                  <c:v>8º</c:v>
                </c:pt>
                <c:pt idx="4">
                  <c:v>9º</c:v>
                </c:pt>
              </c:strCache>
            </c:strRef>
          </c:cat>
          <c:val>
            <c:numRef>
              <c:f>('TRIÉNIO 2'!$AT$9,'TRIÉNIO 2'!$AT$10,'TRIÉNIO 2'!$AT$11,'TRIÉNIO 2'!$AT$12,'TRIÉNIO 2'!$AT$13)</c:f>
              <c:numCache>
                <c:formatCode>0.0%</c:formatCode>
                <c:ptCount val="5"/>
                <c:pt idx="0">
                  <c:v>0.3007518796992481</c:v>
                </c:pt>
                <c:pt idx="1">
                  <c:v>0.23015873015873015</c:v>
                </c:pt>
                <c:pt idx="2">
                  <c:v>9.2592592592592587E-2</c:v>
                </c:pt>
                <c:pt idx="3">
                  <c:v>5.8333333333333334E-2</c:v>
                </c:pt>
                <c:pt idx="4">
                  <c:v>6.7796610169491525E-2</c:v>
                </c:pt>
              </c:numCache>
            </c:numRef>
          </c:val>
        </c:ser>
        <c:dLbls>
          <c:showLegendKey val="0"/>
          <c:showVal val="0"/>
          <c:showCatName val="0"/>
          <c:showSerName val="0"/>
          <c:showPercent val="0"/>
          <c:showBubbleSize val="0"/>
        </c:dLbls>
        <c:gapWidth val="75"/>
        <c:shape val="box"/>
        <c:axId val="186024448"/>
        <c:axId val="176913728"/>
        <c:axId val="0"/>
      </c:bar3DChart>
      <c:catAx>
        <c:axId val="186024448"/>
        <c:scaling>
          <c:orientation val="minMax"/>
        </c:scaling>
        <c:delete val="0"/>
        <c:axPos val="b"/>
        <c:majorTickMark val="none"/>
        <c:minorTickMark val="none"/>
        <c:tickLblPos val="nextTo"/>
        <c:crossAx val="176913728"/>
        <c:crosses val="autoZero"/>
        <c:auto val="1"/>
        <c:lblAlgn val="ctr"/>
        <c:lblOffset val="100"/>
        <c:noMultiLvlLbl val="0"/>
      </c:catAx>
      <c:valAx>
        <c:axId val="176913728"/>
        <c:scaling>
          <c:orientation val="minMax"/>
          <c:max val="1"/>
        </c:scaling>
        <c:delete val="0"/>
        <c:axPos val="l"/>
        <c:majorGridlines/>
        <c:numFmt formatCode="0%" sourceLinked="0"/>
        <c:majorTickMark val="none"/>
        <c:minorTickMark val="none"/>
        <c:tickLblPos val="nextTo"/>
        <c:spPr>
          <a:ln w="9525">
            <a:noFill/>
          </a:ln>
        </c:spPr>
        <c:crossAx val="186024448"/>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Formação Cívica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2'!$AU$7:$AU$8</c:f>
              <c:strCache>
                <c:ptCount val="1"/>
                <c:pt idx="0">
                  <c:v>2006/07</c:v>
                </c:pt>
              </c:strCache>
            </c:strRef>
          </c:tx>
          <c:spPr>
            <a:solidFill>
              <a:srgbClr val="FF0000"/>
            </a:solidFill>
          </c:spPr>
          <c:invertIfNegative val="0"/>
          <c:cat>
            <c:strRef>
              <c:f>'TRIÉNIO 2'!$AN$9:$AN$13</c:f>
              <c:strCache>
                <c:ptCount val="5"/>
                <c:pt idx="0">
                  <c:v>5º</c:v>
                </c:pt>
                <c:pt idx="1">
                  <c:v>6º</c:v>
                </c:pt>
                <c:pt idx="2">
                  <c:v>7º</c:v>
                </c:pt>
                <c:pt idx="3">
                  <c:v>8º</c:v>
                </c:pt>
                <c:pt idx="4">
                  <c:v>9º</c:v>
                </c:pt>
              </c:strCache>
            </c:strRef>
          </c:cat>
          <c:val>
            <c:numRef>
              <c:f>('TRIÉNIO 2'!$AU$9,'TRIÉNIO 2'!$AU$10,'TRIÉNIO 2'!$AU$11,'TRIÉNIO 2'!$AU$12,'TRIÉNIO 2'!$AU$13)</c:f>
              <c:numCache>
                <c:formatCode>0.0%</c:formatCode>
                <c:ptCount val="5"/>
                <c:pt idx="0">
                  <c:v>0.13700000000000001</c:v>
                </c:pt>
                <c:pt idx="1">
                  <c:v>6.3E-2</c:v>
                </c:pt>
                <c:pt idx="2">
                  <c:v>5.5E-2</c:v>
                </c:pt>
                <c:pt idx="3">
                  <c:v>0</c:v>
                </c:pt>
                <c:pt idx="4">
                  <c:v>2.1999999999999999E-2</c:v>
                </c:pt>
              </c:numCache>
            </c:numRef>
          </c:val>
        </c:ser>
        <c:ser>
          <c:idx val="1"/>
          <c:order val="1"/>
          <c:tx>
            <c:strRef>
              <c:f>'TRIÉNIO 2'!$AV$7:$AV$8</c:f>
              <c:strCache>
                <c:ptCount val="1"/>
                <c:pt idx="0">
                  <c:v>2007/08</c:v>
                </c:pt>
              </c:strCache>
            </c:strRef>
          </c:tx>
          <c:spPr>
            <a:solidFill>
              <a:srgbClr val="00FF00"/>
            </a:solidFill>
          </c:spPr>
          <c:invertIfNegative val="0"/>
          <c:cat>
            <c:strRef>
              <c:f>'TRIÉNIO 2'!$AN$9:$AN$13</c:f>
              <c:strCache>
                <c:ptCount val="5"/>
                <c:pt idx="0">
                  <c:v>5º</c:v>
                </c:pt>
                <c:pt idx="1">
                  <c:v>6º</c:v>
                </c:pt>
                <c:pt idx="2">
                  <c:v>7º</c:v>
                </c:pt>
                <c:pt idx="3">
                  <c:v>8º</c:v>
                </c:pt>
                <c:pt idx="4">
                  <c:v>9º</c:v>
                </c:pt>
              </c:strCache>
            </c:strRef>
          </c:cat>
          <c:val>
            <c:numRef>
              <c:f>('TRIÉNIO 2'!$AV$9,'TRIÉNIO 2'!$AV$10,'TRIÉNIO 2'!$AV$11,'TRIÉNIO 2'!$AV$12,'TRIÉNIO 2'!$AV$13)</c:f>
              <c:numCache>
                <c:formatCode>0.0%</c:formatCode>
                <c:ptCount val="5"/>
                <c:pt idx="0">
                  <c:v>0.18666666666666668</c:v>
                </c:pt>
                <c:pt idx="1">
                  <c:v>8.2840236686390539E-2</c:v>
                </c:pt>
                <c:pt idx="2">
                  <c:v>0</c:v>
                </c:pt>
                <c:pt idx="3">
                  <c:v>0</c:v>
                </c:pt>
                <c:pt idx="4">
                  <c:v>8.8495575221238937E-3</c:v>
                </c:pt>
              </c:numCache>
            </c:numRef>
          </c:val>
        </c:ser>
        <c:ser>
          <c:idx val="2"/>
          <c:order val="2"/>
          <c:tx>
            <c:strRef>
              <c:f>'TRIÉNIO 2'!$AW$7:$AW$8</c:f>
              <c:strCache>
                <c:ptCount val="1"/>
                <c:pt idx="0">
                  <c:v>2008/09</c:v>
                </c:pt>
              </c:strCache>
            </c:strRef>
          </c:tx>
          <c:spPr>
            <a:solidFill>
              <a:srgbClr val="00CCFF"/>
            </a:solidFill>
          </c:spPr>
          <c:invertIfNegative val="0"/>
          <c:cat>
            <c:strRef>
              <c:f>'TRIÉNIO 2'!$AN$9:$AN$13</c:f>
              <c:strCache>
                <c:ptCount val="5"/>
                <c:pt idx="0">
                  <c:v>5º</c:v>
                </c:pt>
                <c:pt idx="1">
                  <c:v>6º</c:v>
                </c:pt>
                <c:pt idx="2">
                  <c:v>7º</c:v>
                </c:pt>
                <c:pt idx="3">
                  <c:v>8º</c:v>
                </c:pt>
                <c:pt idx="4">
                  <c:v>9º</c:v>
                </c:pt>
              </c:strCache>
            </c:strRef>
          </c:cat>
          <c:val>
            <c:numRef>
              <c:f>('TRIÉNIO 2'!$AW$9,'TRIÉNIO 2'!$AW$10,'TRIÉNIO 2'!$AW$11,'TRIÉNIO 2'!$AW$12,'TRIÉNIO 2'!$AW$13)</c:f>
              <c:numCache>
                <c:formatCode>0.0%</c:formatCode>
                <c:ptCount val="5"/>
                <c:pt idx="0">
                  <c:v>0.12781954887218044</c:v>
                </c:pt>
                <c:pt idx="1">
                  <c:v>0.16666666666666666</c:v>
                </c:pt>
                <c:pt idx="2">
                  <c:v>0.16049382716049382</c:v>
                </c:pt>
                <c:pt idx="3">
                  <c:v>0</c:v>
                </c:pt>
                <c:pt idx="4">
                  <c:v>8.4745762711864406E-3</c:v>
                </c:pt>
              </c:numCache>
            </c:numRef>
          </c:val>
        </c:ser>
        <c:dLbls>
          <c:showLegendKey val="0"/>
          <c:showVal val="0"/>
          <c:showCatName val="0"/>
          <c:showSerName val="0"/>
          <c:showPercent val="0"/>
          <c:showBubbleSize val="0"/>
        </c:dLbls>
        <c:gapWidth val="75"/>
        <c:shape val="box"/>
        <c:axId val="186024960"/>
        <c:axId val="194627264"/>
        <c:axId val="0"/>
      </c:bar3DChart>
      <c:catAx>
        <c:axId val="186024960"/>
        <c:scaling>
          <c:orientation val="minMax"/>
        </c:scaling>
        <c:delete val="0"/>
        <c:axPos val="b"/>
        <c:majorTickMark val="none"/>
        <c:minorTickMark val="none"/>
        <c:tickLblPos val="nextTo"/>
        <c:crossAx val="194627264"/>
        <c:crosses val="autoZero"/>
        <c:auto val="1"/>
        <c:lblAlgn val="ctr"/>
        <c:lblOffset val="100"/>
        <c:noMultiLvlLbl val="0"/>
      </c:catAx>
      <c:valAx>
        <c:axId val="194627264"/>
        <c:scaling>
          <c:orientation val="minMax"/>
          <c:max val="1"/>
        </c:scaling>
        <c:delete val="0"/>
        <c:axPos val="l"/>
        <c:majorGridlines/>
        <c:numFmt formatCode="0%" sourceLinked="0"/>
        <c:majorTickMark val="none"/>
        <c:minorTickMark val="none"/>
        <c:tickLblPos val="nextTo"/>
        <c:spPr>
          <a:ln w="9525">
            <a:noFill/>
          </a:ln>
        </c:spPr>
        <c:crossAx val="186024960"/>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 M. R. C.</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2'!$AX$7:$AX$8</c:f>
              <c:strCache>
                <c:ptCount val="1"/>
                <c:pt idx="0">
                  <c:v>2006/07</c:v>
                </c:pt>
              </c:strCache>
            </c:strRef>
          </c:tx>
          <c:spPr>
            <a:solidFill>
              <a:srgbClr val="FF0000"/>
            </a:solidFill>
          </c:spPr>
          <c:invertIfNegative val="0"/>
          <c:cat>
            <c:strRef>
              <c:f>'TRIÉNIO 2'!$AN$9:$AN$13</c:f>
              <c:strCache>
                <c:ptCount val="5"/>
                <c:pt idx="0">
                  <c:v>5º</c:v>
                </c:pt>
                <c:pt idx="1">
                  <c:v>6º</c:v>
                </c:pt>
                <c:pt idx="2">
                  <c:v>7º</c:v>
                </c:pt>
                <c:pt idx="3">
                  <c:v>8º</c:v>
                </c:pt>
                <c:pt idx="4">
                  <c:v>9º</c:v>
                </c:pt>
              </c:strCache>
            </c:strRef>
          </c:cat>
          <c:val>
            <c:numRef>
              <c:f>('TRIÉNIO 2'!$AX$9,'TRIÉNIO 2'!$AX$10,'TRIÉNIO 2'!$AX$11,'TRIÉNIO 2'!$AX$12,'TRIÉNIO 2'!$AX$13)</c:f>
              <c:numCache>
                <c:formatCode>0.0%</c:formatCode>
                <c:ptCount val="5"/>
                <c:pt idx="0">
                  <c:v>3.6999999999999998E-2</c:v>
                </c:pt>
                <c:pt idx="1">
                  <c:v>0</c:v>
                </c:pt>
                <c:pt idx="2">
                  <c:v>2.5999999999999999E-2</c:v>
                </c:pt>
                <c:pt idx="3">
                  <c:v>0</c:v>
                </c:pt>
                <c:pt idx="4">
                  <c:v>0</c:v>
                </c:pt>
              </c:numCache>
            </c:numRef>
          </c:val>
        </c:ser>
        <c:ser>
          <c:idx val="1"/>
          <c:order val="1"/>
          <c:tx>
            <c:strRef>
              <c:f>'TRIÉNIO 2'!$AY$7:$AY$8</c:f>
              <c:strCache>
                <c:ptCount val="1"/>
                <c:pt idx="0">
                  <c:v>2007/08</c:v>
                </c:pt>
              </c:strCache>
            </c:strRef>
          </c:tx>
          <c:spPr>
            <a:solidFill>
              <a:srgbClr val="00FF00"/>
            </a:solidFill>
          </c:spPr>
          <c:invertIfNegative val="0"/>
          <c:cat>
            <c:strRef>
              <c:f>'TRIÉNIO 2'!$AN$9:$AN$13</c:f>
              <c:strCache>
                <c:ptCount val="5"/>
                <c:pt idx="0">
                  <c:v>5º</c:v>
                </c:pt>
                <c:pt idx="1">
                  <c:v>6º</c:v>
                </c:pt>
                <c:pt idx="2">
                  <c:v>7º</c:v>
                </c:pt>
                <c:pt idx="3">
                  <c:v>8º</c:v>
                </c:pt>
                <c:pt idx="4">
                  <c:v>9º</c:v>
                </c:pt>
              </c:strCache>
            </c:strRef>
          </c:cat>
          <c:val>
            <c:numRef>
              <c:f>('TRIÉNIO 2'!$AY$9,'TRIÉNIO 2'!$AY$10,'TRIÉNIO 2'!$AY$11,'TRIÉNIO 2'!$AY$12,'TRIÉNIO 2'!$AY$13)</c:f>
              <c:numCache>
                <c:formatCode>0.0%</c:formatCode>
                <c:ptCount val="5"/>
                <c:pt idx="0">
                  <c:v>1.6129032258064502E-2</c:v>
                </c:pt>
                <c:pt idx="1">
                  <c:v>4.0540540540540571E-2</c:v>
                </c:pt>
                <c:pt idx="2">
                  <c:v>4.166666666666663E-2</c:v>
                </c:pt>
                <c:pt idx="3">
                  <c:v>0</c:v>
                </c:pt>
                <c:pt idx="4">
                  <c:v>3.0303030303030276E-2</c:v>
                </c:pt>
              </c:numCache>
            </c:numRef>
          </c:val>
        </c:ser>
        <c:ser>
          <c:idx val="2"/>
          <c:order val="2"/>
          <c:tx>
            <c:strRef>
              <c:f>'TRIÉNIO 2'!$AZ$7:$AZ$8</c:f>
              <c:strCache>
                <c:ptCount val="1"/>
                <c:pt idx="0">
                  <c:v>2008/09</c:v>
                </c:pt>
              </c:strCache>
            </c:strRef>
          </c:tx>
          <c:spPr>
            <a:solidFill>
              <a:srgbClr val="00CCFF"/>
            </a:solidFill>
          </c:spPr>
          <c:invertIfNegative val="0"/>
          <c:cat>
            <c:strRef>
              <c:f>'TRIÉNIO 2'!$AN$9:$AN$13</c:f>
              <c:strCache>
                <c:ptCount val="5"/>
                <c:pt idx="0">
                  <c:v>5º</c:v>
                </c:pt>
                <c:pt idx="1">
                  <c:v>6º</c:v>
                </c:pt>
                <c:pt idx="2">
                  <c:v>7º</c:v>
                </c:pt>
                <c:pt idx="3">
                  <c:v>8º</c:v>
                </c:pt>
                <c:pt idx="4">
                  <c:v>9º</c:v>
                </c:pt>
              </c:strCache>
            </c:strRef>
          </c:cat>
          <c:val>
            <c:numRef>
              <c:f>('TRIÉNIO 2'!$AZ$9,'TRIÉNIO 2'!$AZ$10,'TRIÉNIO 2'!$AZ$11,'TRIÉNIO 2'!$AZ$12,'TRIÉNIO 2'!$AZ$13)</c:f>
              <c:numCache>
                <c:formatCode>0.0%</c:formatCode>
                <c:ptCount val="5"/>
                <c:pt idx="0">
                  <c:v>4.5454545454545414E-2</c:v>
                </c:pt>
                <c:pt idx="1">
                  <c:v>0</c:v>
                </c:pt>
                <c:pt idx="2">
                  <c:v>0</c:v>
                </c:pt>
                <c:pt idx="3">
                  <c:v>0</c:v>
                </c:pt>
                <c:pt idx="4">
                  <c:v>0</c:v>
                </c:pt>
              </c:numCache>
            </c:numRef>
          </c:val>
        </c:ser>
        <c:dLbls>
          <c:showLegendKey val="0"/>
          <c:showVal val="0"/>
          <c:showCatName val="0"/>
          <c:showSerName val="0"/>
          <c:showPercent val="0"/>
          <c:showBubbleSize val="0"/>
        </c:dLbls>
        <c:gapWidth val="75"/>
        <c:shape val="box"/>
        <c:axId val="186025472"/>
        <c:axId val="194629568"/>
        <c:axId val="0"/>
      </c:bar3DChart>
      <c:catAx>
        <c:axId val="186025472"/>
        <c:scaling>
          <c:orientation val="minMax"/>
        </c:scaling>
        <c:delete val="0"/>
        <c:axPos val="b"/>
        <c:majorTickMark val="none"/>
        <c:minorTickMark val="none"/>
        <c:tickLblPos val="nextTo"/>
        <c:crossAx val="194629568"/>
        <c:crosses val="autoZero"/>
        <c:auto val="1"/>
        <c:lblAlgn val="ctr"/>
        <c:lblOffset val="100"/>
        <c:noMultiLvlLbl val="0"/>
      </c:catAx>
      <c:valAx>
        <c:axId val="194629568"/>
        <c:scaling>
          <c:orientation val="minMax"/>
          <c:max val="1"/>
        </c:scaling>
        <c:delete val="0"/>
        <c:axPos val="l"/>
        <c:majorGridlines/>
        <c:numFmt formatCode="0%" sourceLinked="0"/>
        <c:majorTickMark val="none"/>
        <c:minorTickMark val="none"/>
        <c:tickLblPos val="nextTo"/>
        <c:spPr>
          <a:ln w="9525">
            <a:noFill/>
          </a:ln>
        </c:spPr>
        <c:crossAx val="186025472"/>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Educação Tecnológica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2'!$AH$7:$AH$8</c:f>
              <c:strCache>
                <c:ptCount val="1"/>
                <c:pt idx="0">
                  <c:v>2006/07</c:v>
                </c:pt>
              </c:strCache>
            </c:strRef>
          </c:tx>
          <c:spPr>
            <a:solidFill>
              <a:srgbClr val="FF0000"/>
            </a:solidFill>
          </c:spPr>
          <c:invertIfNegative val="0"/>
          <c:cat>
            <c:strRef>
              <c:f>'TRIÉNIO 2'!$AA$11:$AA$12</c:f>
              <c:strCache>
                <c:ptCount val="2"/>
                <c:pt idx="0">
                  <c:v>7º</c:v>
                </c:pt>
                <c:pt idx="1">
                  <c:v>8º</c:v>
                </c:pt>
              </c:strCache>
            </c:strRef>
          </c:cat>
          <c:val>
            <c:numRef>
              <c:f>'TRIÉNIO 2'!$AH$11:$AH$12</c:f>
              <c:numCache>
                <c:formatCode>0.0%</c:formatCode>
                <c:ptCount val="2"/>
                <c:pt idx="0">
                  <c:v>0.218</c:v>
                </c:pt>
                <c:pt idx="1">
                  <c:v>3.5000000000000003E-2</c:v>
                </c:pt>
              </c:numCache>
            </c:numRef>
          </c:val>
        </c:ser>
        <c:ser>
          <c:idx val="1"/>
          <c:order val="1"/>
          <c:tx>
            <c:strRef>
              <c:f>'TRIÉNIO 2'!$AI$7:$AI$8</c:f>
              <c:strCache>
                <c:ptCount val="1"/>
                <c:pt idx="0">
                  <c:v>2007/08</c:v>
                </c:pt>
              </c:strCache>
            </c:strRef>
          </c:tx>
          <c:spPr>
            <a:solidFill>
              <a:srgbClr val="00FF00"/>
            </a:solidFill>
          </c:spPr>
          <c:invertIfNegative val="0"/>
          <c:cat>
            <c:strRef>
              <c:f>'TRIÉNIO 2'!$AA$11:$AA$12</c:f>
              <c:strCache>
                <c:ptCount val="2"/>
                <c:pt idx="0">
                  <c:v>7º</c:v>
                </c:pt>
                <c:pt idx="1">
                  <c:v>8º</c:v>
                </c:pt>
              </c:strCache>
            </c:strRef>
          </c:cat>
          <c:val>
            <c:numRef>
              <c:f>'TRIÉNIO 2'!$AI$11:$AI$12</c:f>
              <c:numCache>
                <c:formatCode>0.0%</c:formatCode>
                <c:ptCount val="2"/>
                <c:pt idx="0">
                  <c:v>0.13414634146341464</c:v>
                </c:pt>
                <c:pt idx="1">
                  <c:v>8.0000000000000071E-3</c:v>
                </c:pt>
              </c:numCache>
            </c:numRef>
          </c:val>
        </c:ser>
        <c:ser>
          <c:idx val="2"/>
          <c:order val="2"/>
          <c:tx>
            <c:strRef>
              <c:f>'TRIÉNIO 2'!$AJ$7:$AJ$8</c:f>
              <c:strCache>
                <c:ptCount val="1"/>
                <c:pt idx="0">
                  <c:v>2008/09</c:v>
                </c:pt>
              </c:strCache>
            </c:strRef>
          </c:tx>
          <c:spPr>
            <a:solidFill>
              <a:srgbClr val="00CCFF"/>
            </a:solidFill>
          </c:spPr>
          <c:invertIfNegative val="0"/>
          <c:cat>
            <c:strRef>
              <c:f>'TRIÉNIO 2'!$AA$11:$AA$12</c:f>
              <c:strCache>
                <c:ptCount val="2"/>
                <c:pt idx="0">
                  <c:v>7º</c:v>
                </c:pt>
                <c:pt idx="1">
                  <c:v>8º</c:v>
                </c:pt>
              </c:strCache>
            </c:strRef>
          </c:cat>
          <c:val>
            <c:numRef>
              <c:f>'TRIÉNIO 2'!$AJ$11:$AJ$12</c:f>
              <c:numCache>
                <c:formatCode>0.0%</c:formatCode>
                <c:ptCount val="2"/>
                <c:pt idx="0">
                  <c:v>6.7901234567901203E-2</c:v>
                </c:pt>
                <c:pt idx="1">
                  <c:v>5.0000000000000044E-2</c:v>
                </c:pt>
              </c:numCache>
            </c:numRef>
          </c:val>
        </c:ser>
        <c:dLbls>
          <c:showLegendKey val="0"/>
          <c:showVal val="0"/>
          <c:showCatName val="0"/>
          <c:showSerName val="0"/>
          <c:showPercent val="0"/>
          <c:showBubbleSize val="0"/>
        </c:dLbls>
        <c:gapWidth val="75"/>
        <c:shape val="box"/>
        <c:axId val="185678336"/>
        <c:axId val="194631872"/>
        <c:axId val="0"/>
      </c:bar3DChart>
      <c:catAx>
        <c:axId val="185678336"/>
        <c:scaling>
          <c:orientation val="minMax"/>
        </c:scaling>
        <c:delete val="0"/>
        <c:axPos val="b"/>
        <c:majorTickMark val="none"/>
        <c:minorTickMark val="none"/>
        <c:tickLblPos val="nextTo"/>
        <c:crossAx val="194631872"/>
        <c:crosses val="autoZero"/>
        <c:auto val="1"/>
        <c:lblAlgn val="ctr"/>
        <c:lblOffset val="100"/>
        <c:noMultiLvlLbl val="0"/>
      </c:catAx>
      <c:valAx>
        <c:axId val="194631872"/>
        <c:scaling>
          <c:orientation val="minMax"/>
          <c:max val="1"/>
        </c:scaling>
        <c:delete val="0"/>
        <c:axPos val="l"/>
        <c:majorGridlines/>
        <c:numFmt formatCode="0%" sourceLinked="0"/>
        <c:majorTickMark val="none"/>
        <c:minorTickMark val="none"/>
        <c:tickLblPos val="nextTo"/>
        <c:spPr>
          <a:ln w="9525">
            <a:noFill/>
          </a:ln>
        </c:spPr>
        <c:crossAx val="185678336"/>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MATEMÁTICA 6º ANO</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1"/>
          <c:order val="0"/>
          <c:tx>
            <c:strRef>
              <c:f>'TRIÉNIO 3'!$B$6</c:f>
              <c:strCache>
                <c:ptCount val="1"/>
                <c:pt idx="0">
                  <c:v>Classificação interna</c:v>
                </c:pt>
              </c:strCache>
            </c:strRef>
          </c:tx>
          <c:spPr>
            <a:solidFill>
              <a:schemeClr val="accent1"/>
            </a:solidFill>
          </c:spPr>
          <c:invertIfNegative val="0"/>
          <c:cat>
            <c:strRef>
              <c:f>Folha1!$Y$5:$AA$5</c:f>
              <c:strCache>
                <c:ptCount val="3"/>
                <c:pt idx="0">
                  <c:v>2006/07</c:v>
                </c:pt>
                <c:pt idx="1">
                  <c:v>2007/08</c:v>
                </c:pt>
                <c:pt idx="2">
                  <c:v>2008/09</c:v>
                </c:pt>
              </c:strCache>
            </c:strRef>
          </c:cat>
          <c:val>
            <c:numRef>
              <c:f>Folha1!$Y$6:$AA$6</c:f>
              <c:numCache>
                <c:formatCode>0.0%</c:formatCode>
                <c:ptCount val="3"/>
                <c:pt idx="0">
                  <c:v>0.309</c:v>
                </c:pt>
                <c:pt idx="1">
                  <c:v>0.28994082840236685</c:v>
                </c:pt>
                <c:pt idx="2">
                  <c:v>0.36507936507936506</c:v>
                </c:pt>
              </c:numCache>
            </c:numRef>
          </c:val>
        </c:ser>
        <c:ser>
          <c:idx val="0"/>
          <c:order val="1"/>
          <c:tx>
            <c:strRef>
              <c:f>'TRIÉNIO 3'!$C$6</c:f>
              <c:strCache>
                <c:ptCount val="1"/>
                <c:pt idx="0">
                  <c:v>Prova de aferição/Exame</c:v>
                </c:pt>
              </c:strCache>
            </c:strRef>
          </c:tx>
          <c:spPr>
            <a:solidFill>
              <a:schemeClr val="accent2"/>
            </a:solidFill>
          </c:spPr>
          <c:invertIfNegative val="0"/>
          <c:cat>
            <c:strRef>
              <c:f>Folha1!$Y$5:$AA$5</c:f>
              <c:strCache>
                <c:ptCount val="3"/>
                <c:pt idx="0">
                  <c:v>2006/07</c:v>
                </c:pt>
                <c:pt idx="1">
                  <c:v>2007/08</c:v>
                </c:pt>
                <c:pt idx="2">
                  <c:v>2008/09</c:v>
                </c:pt>
              </c:strCache>
            </c:strRef>
          </c:cat>
          <c:val>
            <c:numRef>
              <c:f>Folha1!$Y$7:$AA$7</c:f>
              <c:numCache>
                <c:formatCode>0.0%</c:formatCode>
                <c:ptCount val="3"/>
                <c:pt idx="0">
                  <c:v>0.629</c:v>
                </c:pt>
                <c:pt idx="1">
                  <c:v>0.26380368098159507</c:v>
                </c:pt>
                <c:pt idx="2">
                  <c:v>0.5130434782608696</c:v>
                </c:pt>
              </c:numCache>
            </c:numRef>
          </c:val>
        </c:ser>
        <c:dLbls>
          <c:showLegendKey val="0"/>
          <c:showVal val="0"/>
          <c:showCatName val="0"/>
          <c:showSerName val="0"/>
          <c:showPercent val="0"/>
          <c:showBubbleSize val="0"/>
        </c:dLbls>
        <c:gapWidth val="75"/>
        <c:shape val="box"/>
        <c:axId val="176570880"/>
        <c:axId val="192742528"/>
        <c:axId val="0"/>
      </c:bar3DChart>
      <c:catAx>
        <c:axId val="176570880"/>
        <c:scaling>
          <c:orientation val="minMax"/>
        </c:scaling>
        <c:delete val="0"/>
        <c:axPos val="b"/>
        <c:majorTickMark val="none"/>
        <c:minorTickMark val="none"/>
        <c:tickLblPos val="nextTo"/>
        <c:crossAx val="192742528"/>
        <c:crosses val="autoZero"/>
        <c:auto val="1"/>
        <c:lblAlgn val="ctr"/>
        <c:lblOffset val="100"/>
        <c:noMultiLvlLbl val="0"/>
      </c:catAx>
      <c:valAx>
        <c:axId val="192742528"/>
        <c:scaling>
          <c:orientation val="minMax"/>
          <c:max val="1"/>
        </c:scaling>
        <c:delete val="0"/>
        <c:axPos val="l"/>
        <c:majorGridlines/>
        <c:numFmt formatCode="0%" sourceLinked="0"/>
        <c:majorTickMark val="none"/>
        <c:minorTickMark val="none"/>
        <c:tickLblPos val="nextTo"/>
        <c:spPr>
          <a:ln w="9525">
            <a:noFill/>
          </a:ln>
        </c:spPr>
        <c:crossAx val="176570880"/>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888952787492066E-2"/>
          <c:y val="9.9617230967249726E-2"/>
          <c:w val="0.72888967978481245"/>
          <c:h val="0.74329780029409831"/>
        </c:manualLayout>
      </c:layout>
      <c:barChart>
        <c:barDir val="col"/>
        <c:grouping val="clustered"/>
        <c:varyColors val="0"/>
        <c:ser>
          <c:idx val="0"/>
          <c:order val="0"/>
          <c:tx>
            <c:strRef>
              <c:f>'3 - APROV POR ANO E DISC.'!$AM$13</c:f>
              <c:strCache>
                <c:ptCount val="1"/>
                <c:pt idx="0">
                  <c:v>CEF1 Cab</c:v>
                </c:pt>
              </c:strCache>
            </c:strRef>
          </c:tx>
          <c:spPr>
            <a:solidFill>
              <a:srgbClr val="FF9900"/>
            </a:solidFill>
            <a:ln w="12700">
              <a:solidFill>
                <a:srgbClr val="000000"/>
              </a:solidFill>
              <a:prstDash val="solid"/>
            </a:ln>
          </c:spPr>
          <c:invertIfNegative val="0"/>
          <c:cat>
            <c:strRef>
              <c:f>Folha1!$Q$15:$T$15</c:f>
              <c:strCache>
                <c:ptCount val="4"/>
                <c:pt idx="0">
                  <c:v>CMA</c:v>
                </c:pt>
                <c:pt idx="1">
                  <c:v>HSST</c:v>
                </c:pt>
                <c:pt idx="2">
                  <c:v>EF</c:v>
                </c:pt>
                <c:pt idx="3">
                  <c:v>T.I.</c:v>
                </c:pt>
              </c:strCache>
            </c:strRef>
          </c:cat>
          <c:val>
            <c:numRef>
              <c:f>(Folha1!$Q$16,Folha1!$R$16,Folha1!$S$16,Folha1!$T$16)</c:f>
              <c:numCache>
                <c:formatCode>0.00%</c:formatCode>
                <c:ptCount val="4"/>
                <c:pt idx="0">
                  <c:v>0.93333333333333335</c:v>
                </c:pt>
                <c:pt idx="1">
                  <c:v>0.93333333333333335</c:v>
                </c:pt>
                <c:pt idx="2">
                  <c:v>0.73333333333333328</c:v>
                </c:pt>
                <c:pt idx="3">
                  <c:v>0.8666666666666667</c:v>
                </c:pt>
              </c:numCache>
            </c:numRef>
          </c:val>
        </c:ser>
        <c:ser>
          <c:idx val="1"/>
          <c:order val="1"/>
          <c:tx>
            <c:strRef>
              <c:f>'3 - APROV POR ANO E DISC.'!$AM$14</c:f>
              <c:strCache>
                <c:ptCount val="1"/>
                <c:pt idx="0">
                  <c:v>CEF2 OI</c:v>
                </c:pt>
              </c:strCache>
            </c:strRef>
          </c:tx>
          <c:spPr>
            <a:solidFill>
              <a:srgbClr val="00CCFF"/>
            </a:solidFill>
            <a:ln w="12700">
              <a:solidFill>
                <a:srgbClr val="000000"/>
              </a:solidFill>
              <a:prstDash val="solid"/>
            </a:ln>
          </c:spPr>
          <c:invertIfNegative val="0"/>
          <c:cat>
            <c:strRef>
              <c:f>Folha1!$Q$15:$T$15</c:f>
              <c:strCache>
                <c:ptCount val="4"/>
                <c:pt idx="0">
                  <c:v>CMA</c:v>
                </c:pt>
                <c:pt idx="1">
                  <c:v>HSST</c:v>
                </c:pt>
                <c:pt idx="2">
                  <c:v>EF</c:v>
                </c:pt>
                <c:pt idx="3">
                  <c:v>T.I.</c:v>
                </c:pt>
              </c:strCache>
            </c:strRef>
          </c:cat>
          <c:val>
            <c:numRef>
              <c:f>(Folha1!$Q$17,Folha1!$R$17,Folha1!$S$17,Folha1!$T$17)</c:f>
              <c:numCache>
                <c:formatCode>0.00%</c:formatCode>
                <c:ptCount val="4"/>
                <c:pt idx="0">
                  <c:v>0.81818181818181823</c:v>
                </c:pt>
                <c:pt idx="1">
                  <c:v>0.81818181818181823</c:v>
                </c:pt>
                <c:pt idx="2">
                  <c:v>0.81818181818181823</c:v>
                </c:pt>
                <c:pt idx="3">
                  <c:v>0.81818181818181823</c:v>
                </c:pt>
              </c:numCache>
            </c:numRef>
          </c:val>
        </c:ser>
        <c:ser>
          <c:idx val="2"/>
          <c:order val="2"/>
          <c:tx>
            <c:strRef>
              <c:f>'3 - APROV POR ANO E DISC.'!$AM$15</c:f>
              <c:strCache>
                <c:ptCount val="1"/>
                <c:pt idx="0">
                  <c:v>CEF2 Cab</c:v>
                </c:pt>
              </c:strCache>
            </c:strRef>
          </c:tx>
          <c:spPr>
            <a:solidFill>
              <a:srgbClr val="FF00FF"/>
            </a:solidFill>
            <a:ln w="12700">
              <a:solidFill>
                <a:srgbClr val="000000"/>
              </a:solidFill>
              <a:prstDash val="solid"/>
            </a:ln>
          </c:spPr>
          <c:invertIfNegative val="0"/>
          <c:cat>
            <c:strRef>
              <c:f>Folha1!$Q$15:$T$15</c:f>
              <c:strCache>
                <c:ptCount val="4"/>
                <c:pt idx="0">
                  <c:v>CMA</c:v>
                </c:pt>
                <c:pt idx="1">
                  <c:v>HSST</c:v>
                </c:pt>
                <c:pt idx="2">
                  <c:v>EF</c:v>
                </c:pt>
                <c:pt idx="3">
                  <c:v>T.I.</c:v>
                </c:pt>
              </c:strCache>
            </c:strRef>
          </c:cat>
          <c:val>
            <c:numRef>
              <c:f>(Folha1!$Q$18,Folha1!$R$18,Folha1!$S$18,Folha1!$T$18)</c:f>
              <c:numCache>
                <c:formatCode>0.00%</c:formatCode>
                <c:ptCount val="4"/>
                <c:pt idx="0">
                  <c:v>0.81818181818181823</c:v>
                </c:pt>
                <c:pt idx="1">
                  <c:v>0.81818181818181823</c:v>
                </c:pt>
                <c:pt idx="2">
                  <c:v>0.72727272727272729</c:v>
                </c:pt>
                <c:pt idx="3">
                  <c:v>0.72727272727272729</c:v>
                </c:pt>
              </c:numCache>
            </c:numRef>
          </c:val>
        </c:ser>
        <c:ser>
          <c:idx val="3"/>
          <c:order val="3"/>
          <c:tx>
            <c:strRef>
              <c:f>'3 - APROV POR ANO E DISC.'!$AM$16</c:f>
              <c:strCache>
                <c:ptCount val="1"/>
                <c:pt idx="0">
                  <c:v>TOTAL</c:v>
                </c:pt>
              </c:strCache>
            </c:strRef>
          </c:tx>
          <c:spPr>
            <a:solidFill>
              <a:schemeClr val="tx2">
                <a:lumMod val="20000"/>
                <a:lumOff val="80000"/>
              </a:schemeClr>
            </a:solidFill>
            <a:ln w="12700">
              <a:solidFill>
                <a:srgbClr val="000000"/>
              </a:solidFill>
              <a:prstDash val="solid"/>
            </a:ln>
          </c:spPr>
          <c:invertIfNegative val="0"/>
          <c:cat>
            <c:strRef>
              <c:f>Folha1!$Q$15:$T$15</c:f>
              <c:strCache>
                <c:ptCount val="4"/>
                <c:pt idx="0">
                  <c:v>CMA</c:v>
                </c:pt>
                <c:pt idx="1">
                  <c:v>HSST</c:v>
                </c:pt>
                <c:pt idx="2">
                  <c:v>EF</c:v>
                </c:pt>
                <c:pt idx="3">
                  <c:v>T.I.</c:v>
                </c:pt>
              </c:strCache>
            </c:strRef>
          </c:cat>
          <c:val>
            <c:numRef>
              <c:f>(Folha1!$Q$19,Folha1!$R$19,Folha1!$S$19,Folha1!$T$19)</c:f>
              <c:numCache>
                <c:formatCode>0.00%</c:formatCode>
                <c:ptCount val="4"/>
                <c:pt idx="0">
                  <c:v>0.96969696969696972</c:v>
                </c:pt>
                <c:pt idx="1">
                  <c:v>0.96969696969696972</c:v>
                </c:pt>
                <c:pt idx="2">
                  <c:v>0.84848484848484851</c:v>
                </c:pt>
                <c:pt idx="3">
                  <c:v>0.90909090909090906</c:v>
                </c:pt>
              </c:numCache>
            </c:numRef>
          </c:val>
        </c:ser>
        <c:dLbls>
          <c:showLegendKey val="0"/>
          <c:showVal val="0"/>
          <c:showCatName val="0"/>
          <c:showSerName val="0"/>
          <c:showPercent val="0"/>
          <c:showBubbleSize val="0"/>
        </c:dLbls>
        <c:gapWidth val="150"/>
        <c:axId val="111987712"/>
        <c:axId val="113360192"/>
      </c:barChart>
      <c:catAx>
        <c:axId val="11198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13360192"/>
        <c:crosses val="autoZero"/>
        <c:auto val="1"/>
        <c:lblAlgn val="ctr"/>
        <c:lblOffset val="100"/>
        <c:tickLblSkip val="1"/>
        <c:tickMarkSkip val="1"/>
        <c:noMultiLvlLbl val="0"/>
      </c:catAx>
      <c:valAx>
        <c:axId val="113360192"/>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11987712"/>
        <c:crosses val="autoZero"/>
        <c:crossBetween val="between"/>
        <c:majorUnit val="0.2"/>
      </c:valAx>
      <c:spPr>
        <a:noFill/>
        <a:ln w="12700">
          <a:solidFill>
            <a:srgbClr val="808080"/>
          </a:solidFill>
          <a:prstDash val="solid"/>
        </a:ln>
      </c:spPr>
    </c:plotArea>
    <c:legend>
      <c:legendPos val="r"/>
      <c:layout>
        <c:manualLayout>
          <c:xMode val="edge"/>
          <c:yMode val="edge"/>
          <c:x val="0.84302174966982824"/>
          <c:y val="9.8390262711075413E-2"/>
          <c:w val="0.14220166389175978"/>
          <c:h val="0.63606901391639459"/>
        </c:manualLayout>
      </c:layout>
      <c:overlay val="0"/>
      <c:txPr>
        <a:bodyPr/>
        <a:lstStyle/>
        <a:p>
          <a:pPr>
            <a:defRPr sz="1100"/>
          </a:pPr>
          <a:endParaRPr lang="pt-PT"/>
        </a:p>
      </c:txPr>
    </c:legend>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LÍNGUA PORTUGUESA 6º ANO</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3'!$B$34</c:f>
              <c:strCache>
                <c:ptCount val="1"/>
                <c:pt idx="0">
                  <c:v>Classificação interna</c:v>
                </c:pt>
              </c:strCache>
            </c:strRef>
          </c:tx>
          <c:invertIfNegative val="0"/>
          <c:cat>
            <c:strRef>
              <c:f>Folha1!$AC$5:$AE$5</c:f>
              <c:strCache>
                <c:ptCount val="3"/>
                <c:pt idx="0">
                  <c:v>2006/07</c:v>
                </c:pt>
                <c:pt idx="1">
                  <c:v>2007/08</c:v>
                </c:pt>
                <c:pt idx="2">
                  <c:v>2008/09</c:v>
                </c:pt>
              </c:strCache>
            </c:strRef>
          </c:cat>
          <c:val>
            <c:numRef>
              <c:f>(Folha1!$AC$6,Folha1!$AD$6,Folha1!$AE$6)</c:f>
              <c:numCache>
                <c:formatCode>0.0%</c:formatCode>
                <c:ptCount val="3"/>
                <c:pt idx="0">
                  <c:v>0.26300000000000001</c:v>
                </c:pt>
                <c:pt idx="1">
                  <c:v>0.18343195266272189</c:v>
                </c:pt>
                <c:pt idx="2">
                  <c:v>0.25396825396825395</c:v>
                </c:pt>
              </c:numCache>
            </c:numRef>
          </c:val>
        </c:ser>
        <c:ser>
          <c:idx val="1"/>
          <c:order val="1"/>
          <c:tx>
            <c:strRef>
              <c:f>'TRIÉNIO 3'!$C$34</c:f>
              <c:strCache>
                <c:ptCount val="1"/>
                <c:pt idx="0">
                  <c:v>Prova de aferição/Exame</c:v>
                </c:pt>
              </c:strCache>
            </c:strRef>
          </c:tx>
          <c:invertIfNegative val="0"/>
          <c:cat>
            <c:strRef>
              <c:f>Folha1!$AC$5:$AE$5</c:f>
              <c:strCache>
                <c:ptCount val="3"/>
                <c:pt idx="0">
                  <c:v>2006/07</c:v>
                </c:pt>
                <c:pt idx="1">
                  <c:v>2007/08</c:v>
                </c:pt>
                <c:pt idx="2">
                  <c:v>2008/09</c:v>
                </c:pt>
              </c:strCache>
            </c:strRef>
          </c:cat>
          <c:val>
            <c:numRef>
              <c:f>(Folha1!$AC$7,Folha1!$AD$7,Folha1!$AE$7)</c:f>
              <c:numCache>
                <c:formatCode>0.0%</c:formatCode>
                <c:ptCount val="3"/>
                <c:pt idx="0">
                  <c:v>0.26600000000000001</c:v>
                </c:pt>
                <c:pt idx="1">
                  <c:v>0.12121212121212122</c:v>
                </c:pt>
                <c:pt idx="2">
                  <c:v>0.30769230769230771</c:v>
                </c:pt>
              </c:numCache>
            </c:numRef>
          </c:val>
        </c:ser>
        <c:dLbls>
          <c:showLegendKey val="0"/>
          <c:showVal val="0"/>
          <c:showCatName val="0"/>
          <c:showSerName val="0"/>
          <c:showPercent val="0"/>
          <c:showBubbleSize val="0"/>
        </c:dLbls>
        <c:gapWidth val="75"/>
        <c:shape val="box"/>
        <c:axId val="192446976"/>
        <c:axId val="192744256"/>
        <c:axId val="0"/>
      </c:bar3DChart>
      <c:catAx>
        <c:axId val="192446976"/>
        <c:scaling>
          <c:orientation val="minMax"/>
        </c:scaling>
        <c:delete val="0"/>
        <c:axPos val="b"/>
        <c:majorTickMark val="none"/>
        <c:minorTickMark val="none"/>
        <c:tickLblPos val="nextTo"/>
        <c:crossAx val="192744256"/>
        <c:crosses val="autoZero"/>
        <c:auto val="1"/>
        <c:lblAlgn val="ctr"/>
        <c:lblOffset val="100"/>
        <c:noMultiLvlLbl val="0"/>
      </c:catAx>
      <c:valAx>
        <c:axId val="192744256"/>
        <c:scaling>
          <c:orientation val="minMax"/>
          <c:max val="1"/>
        </c:scaling>
        <c:delete val="0"/>
        <c:axPos val="l"/>
        <c:majorGridlines/>
        <c:numFmt formatCode="0%" sourceLinked="0"/>
        <c:majorTickMark val="none"/>
        <c:minorTickMark val="none"/>
        <c:tickLblPos val="nextTo"/>
        <c:spPr>
          <a:ln w="9525">
            <a:noFill/>
          </a:ln>
        </c:spPr>
        <c:crossAx val="192446976"/>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MATEMÁTICA 9º ANO</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3'!$B$6</c:f>
              <c:strCache>
                <c:ptCount val="1"/>
                <c:pt idx="0">
                  <c:v>Classificação interna</c:v>
                </c:pt>
              </c:strCache>
            </c:strRef>
          </c:tx>
          <c:invertIfNegative val="0"/>
          <c:cat>
            <c:strRef>
              <c:f>Folha1!$Y$5:$AA$5</c:f>
              <c:strCache>
                <c:ptCount val="3"/>
                <c:pt idx="0">
                  <c:v>2006/07</c:v>
                </c:pt>
                <c:pt idx="1">
                  <c:v>2007/08</c:v>
                </c:pt>
                <c:pt idx="2">
                  <c:v>2008/09</c:v>
                </c:pt>
              </c:strCache>
            </c:strRef>
          </c:cat>
          <c:val>
            <c:numRef>
              <c:f>(Folha1!$Y$9,Folha1!$Z$9,Folha1!$AA$9)</c:f>
              <c:numCache>
                <c:formatCode>0.0%</c:formatCode>
                <c:ptCount val="3"/>
                <c:pt idx="0">
                  <c:v>0.4</c:v>
                </c:pt>
                <c:pt idx="1">
                  <c:v>0.23008849557522124</c:v>
                </c:pt>
                <c:pt idx="2">
                  <c:v>0.17821782178217821</c:v>
                </c:pt>
              </c:numCache>
            </c:numRef>
          </c:val>
        </c:ser>
        <c:ser>
          <c:idx val="1"/>
          <c:order val="1"/>
          <c:tx>
            <c:strRef>
              <c:f>'TRIÉNIO 3'!$C$6</c:f>
              <c:strCache>
                <c:ptCount val="1"/>
                <c:pt idx="0">
                  <c:v>Prova de aferição/Exame</c:v>
                </c:pt>
              </c:strCache>
            </c:strRef>
          </c:tx>
          <c:invertIfNegative val="0"/>
          <c:cat>
            <c:strRef>
              <c:f>Folha1!$Y$5:$AA$5</c:f>
              <c:strCache>
                <c:ptCount val="3"/>
                <c:pt idx="0">
                  <c:v>2006/07</c:v>
                </c:pt>
                <c:pt idx="1">
                  <c:v>2007/08</c:v>
                </c:pt>
                <c:pt idx="2">
                  <c:v>2008/09</c:v>
                </c:pt>
              </c:strCache>
            </c:strRef>
          </c:cat>
          <c:val>
            <c:numRef>
              <c:f>(Folha1!$Y$10,Folha1!$Z$10,Folha1!$AA$10)</c:f>
              <c:numCache>
                <c:formatCode>0.0%</c:formatCode>
                <c:ptCount val="3"/>
                <c:pt idx="0">
                  <c:v>0.84</c:v>
                </c:pt>
                <c:pt idx="1">
                  <c:v>0.48148148148148145</c:v>
                </c:pt>
                <c:pt idx="2">
                  <c:v>0.52475247524752477</c:v>
                </c:pt>
              </c:numCache>
            </c:numRef>
          </c:val>
        </c:ser>
        <c:dLbls>
          <c:showLegendKey val="0"/>
          <c:showVal val="0"/>
          <c:showCatName val="0"/>
          <c:showSerName val="0"/>
          <c:showPercent val="0"/>
          <c:showBubbleSize val="0"/>
        </c:dLbls>
        <c:gapWidth val="75"/>
        <c:shape val="box"/>
        <c:axId val="192448000"/>
        <c:axId val="192745984"/>
        <c:axId val="0"/>
      </c:bar3DChart>
      <c:catAx>
        <c:axId val="192448000"/>
        <c:scaling>
          <c:orientation val="minMax"/>
        </c:scaling>
        <c:delete val="0"/>
        <c:axPos val="b"/>
        <c:majorTickMark val="none"/>
        <c:minorTickMark val="none"/>
        <c:tickLblPos val="nextTo"/>
        <c:crossAx val="192745984"/>
        <c:crosses val="autoZero"/>
        <c:auto val="1"/>
        <c:lblAlgn val="ctr"/>
        <c:lblOffset val="100"/>
        <c:noMultiLvlLbl val="0"/>
      </c:catAx>
      <c:valAx>
        <c:axId val="192745984"/>
        <c:scaling>
          <c:orientation val="minMax"/>
        </c:scaling>
        <c:delete val="0"/>
        <c:axPos val="l"/>
        <c:majorGridlines/>
        <c:numFmt formatCode="0%" sourceLinked="0"/>
        <c:majorTickMark val="none"/>
        <c:minorTickMark val="none"/>
        <c:tickLblPos val="nextTo"/>
        <c:spPr>
          <a:ln w="9525">
            <a:noFill/>
          </a:ln>
        </c:spPr>
        <c:crossAx val="192448000"/>
        <c:crosses val="autoZero"/>
        <c:crossBetween val="between"/>
      </c:valAx>
    </c:plotArea>
    <c:legend>
      <c:legendPos val="b"/>
      <c:overlay val="0"/>
    </c:legend>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LÍNGUA PORTUGUESA 9º ANO</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'TRIÉNIO 3'!$D$34</c:f>
              <c:strCache>
                <c:ptCount val="1"/>
                <c:pt idx="0">
                  <c:v>Classificação interna</c:v>
                </c:pt>
              </c:strCache>
            </c:strRef>
          </c:tx>
          <c:invertIfNegative val="0"/>
          <c:cat>
            <c:strRef>
              <c:f>Folha1!$Y$5:$AA$5</c:f>
              <c:strCache>
                <c:ptCount val="3"/>
                <c:pt idx="0">
                  <c:v>2006/07</c:v>
                </c:pt>
                <c:pt idx="1">
                  <c:v>2007/08</c:v>
                </c:pt>
                <c:pt idx="2">
                  <c:v>2008/09</c:v>
                </c:pt>
              </c:strCache>
            </c:strRef>
          </c:cat>
          <c:val>
            <c:numRef>
              <c:f>(Folha1!$AC$9,Folha1!$AD$9,Folha1!$AE$9)</c:f>
              <c:numCache>
                <c:formatCode>0.0%</c:formatCode>
                <c:ptCount val="3"/>
                <c:pt idx="0">
                  <c:v>0.17</c:v>
                </c:pt>
                <c:pt idx="1">
                  <c:v>9.7345132743362831E-2</c:v>
                </c:pt>
                <c:pt idx="2">
                  <c:v>4.9504950495049507E-2</c:v>
                </c:pt>
              </c:numCache>
            </c:numRef>
          </c:val>
        </c:ser>
        <c:ser>
          <c:idx val="1"/>
          <c:order val="1"/>
          <c:tx>
            <c:strRef>
              <c:f>'TRIÉNIO 3'!$G$34</c:f>
              <c:strCache>
                <c:ptCount val="1"/>
                <c:pt idx="0">
                  <c:v>Prova de aferição/Exame</c:v>
                </c:pt>
              </c:strCache>
            </c:strRef>
          </c:tx>
          <c:invertIfNegative val="0"/>
          <c:cat>
            <c:strRef>
              <c:f>Folha1!$Y$5:$AA$5</c:f>
              <c:strCache>
                <c:ptCount val="3"/>
                <c:pt idx="0">
                  <c:v>2006/07</c:v>
                </c:pt>
                <c:pt idx="1">
                  <c:v>2007/08</c:v>
                </c:pt>
                <c:pt idx="2">
                  <c:v>2008/09</c:v>
                </c:pt>
              </c:strCache>
            </c:strRef>
          </c:cat>
          <c:val>
            <c:numRef>
              <c:f>(Folha1!$AC$10,Folha1!$AD$10,Folha1!$AE$10)</c:f>
              <c:numCache>
                <c:formatCode>0.0%</c:formatCode>
                <c:ptCount val="3"/>
                <c:pt idx="0">
                  <c:v>4.8000000000000001E-2</c:v>
                </c:pt>
                <c:pt idx="1">
                  <c:v>9.2592592592592587E-2</c:v>
                </c:pt>
                <c:pt idx="2">
                  <c:v>0.18811881188118812</c:v>
                </c:pt>
              </c:numCache>
            </c:numRef>
          </c:val>
        </c:ser>
        <c:dLbls>
          <c:showLegendKey val="0"/>
          <c:showVal val="0"/>
          <c:showCatName val="0"/>
          <c:showSerName val="0"/>
          <c:showPercent val="0"/>
          <c:showBubbleSize val="0"/>
        </c:dLbls>
        <c:gapWidth val="75"/>
        <c:shape val="box"/>
        <c:axId val="192448512"/>
        <c:axId val="192747712"/>
        <c:axId val="0"/>
      </c:bar3DChart>
      <c:catAx>
        <c:axId val="192448512"/>
        <c:scaling>
          <c:orientation val="minMax"/>
        </c:scaling>
        <c:delete val="0"/>
        <c:axPos val="b"/>
        <c:majorTickMark val="none"/>
        <c:minorTickMark val="none"/>
        <c:tickLblPos val="nextTo"/>
        <c:crossAx val="192747712"/>
        <c:crosses val="autoZero"/>
        <c:auto val="1"/>
        <c:lblAlgn val="ctr"/>
        <c:lblOffset val="100"/>
        <c:noMultiLvlLbl val="0"/>
      </c:catAx>
      <c:valAx>
        <c:axId val="192747712"/>
        <c:scaling>
          <c:orientation val="minMax"/>
          <c:max val="1"/>
        </c:scaling>
        <c:delete val="0"/>
        <c:axPos val="l"/>
        <c:majorGridlines/>
        <c:numFmt formatCode="0%" sourceLinked="0"/>
        <c:majorTickMark val="none"/>
        <c:minorTickMark val="none"/>
        <c:tickLblPos val="nextTo"/>
        <c:spPr>
          <a:ln w="9525">
            <a:noFill/>
          </a:ln>
        </c:spPr>
        <c:crossAx val="192448512"/>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APOIO A LÍNGUA PORTUGUESA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Folha1!$AH$7</c:f>
              <c:strCache>
                <c:ptCount val="1"/>
                <c:pt idx="0">
                  <c:v>2006/07</c:v>
                </c:pt>
              </c:strCache>
            </c:strRef>
          </c:tx>
          <c:invertIfNegative val="0"/>
          <c:cat>
            <c:strRef>
              <c:f>Folha1!$AG$8:$AG$12</c:f>
              <c:strCache>
                <c:ptCount val="5"/>
                <c:pt idx="0">
                  <c:v>5º</c:v>
                </c:pt>
                <c:pt idx="1">
                  <c:v>6º</c:v>
                </c:pt>
                <c:pt idx="2">
                  <c:v>7º</c:v>
                </c:pt>
                <c:pt idx="3">
                  <c:v>8º</c:v>
                </c:pt>
                <c:pt idx="4">
                  <c:v>9º</c:v>
                </c:pt>
              </c:strCache>
            </c:strRef>
          </c:cat>
          <c:val>
            <c:numRef>
              <c:f>Folha1!$AH$8:$AH$12</c:f>
              <c:numCache>
                <c:formatCode>0.0%</c:formatCode>
                <c:ptCount val="5"/>
                <c:pt idx="0">
                  <c:v>0.54200000000000004</c:v>
                </c:pt>
                <c:pt idx="1">
                  <c:v>0.38100000000000001</c:v>
                </c:pt>
                <c:pt idx="2">
                  <c:v>0.4</c:v>
                </c:pt>
                <c:pt idx="3">
                  <c:v>5.2999999999999999E-2</c:v>
                </c:pt>
                <c:pt idx="4">
                  <c:v>0.71399999999999997</c:v>
                </c:pt>
              </c:numCache>
            </c:numRef>
          </c:val>
        </c:ser>
        <c:ser>
          <c:idx val="1"/>
          <c:order val="1"/>
          <c:tx>
            <c:strRef>
              <c:f>Folha1!$AI$7</c:f>
              <c:strCache>
                <c:ptCount val="1"/>
                <c:pt idx="0">
                  <c:v>2007/08</c:v>
                </c:pt>
              </c:strCache>
            </c:strRef>
          </c:tx>
          <c:invertIfNegative val="0"/>
          <c:cat>
            <c:strRef>
              <c:f>Folha1!$AG$8:$AG$12</c:f>
              <c:strCache>
                <c:ptCount val="5"/>
                <c:pt idx="0">
                  <c:v>5º</c:v>
                </c:pt>
                <c:pt idx="1">
                  <c:v>6º</c:v>
                </c:pt>
                <c:pt idx="2">
                  <c:v>7º</c:v>
                </c:pt>
                <c:pt idx="3">
                  <c:v>8º</c:v>
                </c:pt>
                <c:pt idx="4">
                  <c:v>9º</c:v>
                </c:pt>
              </c:strCache>
            </c:strRef>
          </c:cat>
          <c:val>
            <c:numRef>
              <c:f>Folha1!$AI$8:$AI$12</c:f>
              <c:numCache>
                <c:formatCode>0.0%</c:formatCode>
                <c:ptCount val="5"/>
                <c:pt idx="0">
                  <c:v>0.38235294117647056</c:v>
                </c:pt>
                <c:pt idx="1">
                  <c:v>0.7857142857142857</c:v>
                </c:pt>
                <c:pt idx="2">
                  <c:v>0.17073170731707318</c:v>
                </c:pt>
                <c:pt idx="3">
                  <c:v>0.66666666666666663</c:v>
                </c:pt>
                <c:pt idx="4">
                  <c:v>0.88888888888888884</c:v>
                </c:pt>
              </c:numCache>
            </c:numRef>
          </c:val>
        </c:ser>
        <c:ser>
          <c:idx val="2"/>
          <c:order val="2"/>
          <c:tx>
            <c:strRef>
              <c:f>Folha1!$AJ$7</c:f>
              <c:strCache>
                <c:ptCount val="1"/>
                <c:pt idx="0">
                  <c:v>2008/09</c:v>
                </c:pt>
              </c:strCache>
            </c:strRef>
          </c:tx>
          <c:invertIfNegative val="0"/>
          <c:cat>
            <c:strRef>
              <c:f>Folha1!$AG$8:$AG$12</c:f>
              <c:strCache>
                <c:ptCount val="5"/>
                <c:pt idx="0">
                  <c:v>5º</c:v>
                </c:pt>
                <c:pt idx="1">
                  <c:v>6º</c:v>
                </c:pt>
                <c:pt idx="2">
                  <c:v>7º</c:v>
                </c:pt>
                <c:pt idx="3">
                  <c:v>8º</c:v>
                </c:pt>
                <c:pt idx="4">
                  <c:v>9º</c:v>
                </c:pt>
              </c:strCache>
            </c:strRef>
          </c:cat>
          <c:val>
            <c:numRef>
              <c:f>Folha1!$AJ$8:$AJ$12</c:f>
              <c:numCache>
                <c:formatCode>0.0%</c:formatCode>
                <c:ptCount val="5"/>
                <c:pt idx="0">
                  <c:v>0.55172413793103448</c:v>
                </c:pt>
                <c:pt idx="1">
                  <c:v>0.45161290322580644</c:v>
                </c:pt>
                <c:pt idx="2">
                  <c:v>0.5714285714285714</c:v>
                </c:pt>
                <c:pt idx="3">
                  <c:v>0.25</c:v>
                </c:pt>
                <c:pt idx="4">
                  <c:v>0.84210526315789469</c:v>
                </c:pt>
              </c:numCache>
            </c:numRef>
          </c:val>
        </c:ser>
        <c:dLbls>
          <c:showLegendKey val="0"/>
          <c:showVal val="0"/>
          <c:showCatName val="0"/>
          <c:showSerName val="0"/>
          <c:showPercent val="0"/>
          <c:showBubbleSize val="0"/>
        </c:dLbls>
        <c:gapWidth val="75"/>
        <c:shape val="box"/>
        <c:axId val="192450048"/>
        <c:axId val="194207744"/>
        <c:axId val="0"/>
      </c:bar3DChart>
      <c:catAx>
        <c:axId val="192450048"/>
        <c:scaling>
          <c:orientation val="minMax"/>
        </c:scaling>
        <c:delete val="0"/>
        <c:axPos val="b"/>
        <c:majorTickMark val="none"/>
        <c:minorTickMark val="none"/>
        <c:tickLblPos val="nextTo"/>
        <c:crossAx val="194207744"/>
        <c:crosses val="autoZero"/>
        <c:auto val="1"/>
        <c:lblAlgn val="ctr"/>
        <c:lblOffset val="100"/>
        <c:noMultiLvlLbl val="0"/>
      </c:catAx>
      <c:valAx>
        <c:axId val="194207744"/>
        <c:scaling>
          <c:orientation val="minMax"/>
          <c:max val="1"/>
        </c:scaling>
        <c:delete val="0"/>
        <c:axPos val="l"/>
        <c:majorGridlines/>
        <c:numFmt formatCode="0%" sourceLinked="0"/>
        <c:majorTickMark val="none"/>
        <c:minorTickMark val="none"/>
        <c:tickLblPos val="nextTo"/>
        <c:spPr>
          <a:ln w="9525">
            <a:noFill/>
          </a:ln>
        </c:spPr>
        <c:crossAx val="192450048"/>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APOIO A INGLÊS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Folha1!$AR$7</c:f>
              <c:strCache>
                <c:ptCount val="1"/>
                <c:pt idx="0">
                  <c:v>2006/07</c:v>
                </c:pt>
              </c:strCache>
            </c:strRef>
          </c:tx>
          <c:invertIfNegative val="0"/>
          <c:cat>
            <c:strRef>
              <c:f>Folha1!$AQ$8:$AQ$12</c:f>
              <c:strCache>
                <c:ptCount val="5"/>
                <c:pt idx="0">
                  <c:v>5º</c:v>
                </c:pt>
                <c:pt idx="1">
                  <c:v>6º</c:v>
                </c:pt>
                <c:pt idx="2">
                  <c:v>7º</c:v>
                </c:pt>
                <c:pt idx="3">
                  <c:v>8º</c:v>
                </c:pt>
                <c:pt idx="4">
                  <c:v>9º</c:v>
                </c:pt>
              </c:strCache>
            </c:strRef>
          </c:cat>
          <c:val>
            <c:numRef>
              <c:f>Folha1!$AR$8:$AR$12</c:f>
              <c:numCache>
                <c:formatCode>0.0%</c:formatCode>
                <c:ptCount val="5"/>
                <c:pt idx="0">
                  <c:v>0</c:v>
                </c:pt>
                <c:pt idx="1">
                  <c:v>0.77700000000000002</c:v>
                </c:pt>
                <c:pt idx="2">
                  <c:v>0.36399999999999999</c:v>
                </c:pt>
                <c:pt idx="3">
                  <c:v>0</c:v>
                </c:pt>
                <c:pt idx="4">
                  <c:v>0</c:v>
                </c:pt>
              </c:numCache>
            </c:numRef>
          </c:val>
        </c:ser>
        <c:ser>
          <c:idx val="1"/>
          <c:order val="1"/>
          <c:tx>
            <c:strRef>
              <c:f>Folha1!$AS$7</c:f>
              <c:strCache>
                <c:ptCount val="1"/>
                <c:pt idx="0">
                  <c:v>2007/08</c:v>
                </c:pt>
              </c:strCache>
            </c:strRef>
          </c:tx>
          <c:invertIfNegative val="0"/>
          <c:cat>
            <c:strRef>
              <c:f>Folha1!$AQ$8:$AQ$12</c:f>
              <c:strCache>
                <c:ptCount val="5"/>
                <c:pt idx="0">
                  <c:v>5º</c:v>
                </c:pt>
                <c:pt idx="1">
                  <c:v>6º</c:v>
                </c:pt>
                <c:pt idx="2">
                  <c:v>7º</c:v>
                </c:pt>
                <c:pt idx="3">
                  <c:v>8º</c:v>
                </c:pt>
                <c:pt idx="4">
                  <c:v>9º</c:v>
                </c:pt>
              </c:strCache>
            </c:strRef>
          </c:cat>
          <c:val>
            <c:numRef>
              <c:f>Folha1!$AS$8:$AS$12</c:f>
              <c:numCache>
                <c:formatCode>0.0%</c:formatCode>
                <c:ptCount val="5"/>
                <c:pt idx="0">
                  <c:v>0</c:v>
                </c:pt>
                <c:pt idx="1">
                  <c:v>0.65517241379310343</c:v>
                </c:pt>
                <c:pt idx="2">
                  <c:v>0.41666666666666669</c:v>
                </c:pt>
                <c:pt idx="3">
                  <c:v>0.65384615384615385</c:v>
                </c:pt>
                <c:pt idx="4">
                  <c:v>0.33333333333333331</c:v>
                </c:pt>
              </c:numCache>
            </c:numRef>
          </c:val>
        </c:ser>
        <c:ser>
          <c:idx val="2"/>
          <c:order val="2"/>
          <c:tx>
            <c:strRef>
              <c:f>Folha1!$AT$7</c:f>
              <c:strCache>
                <c:ptCount val="1"/>
                <c:pt idx="0">
                  <c:v>2008/09</c:v>
                </c:pt>
              </c:strCache>
            </c:strRef>
          </c:tx>
          <c:invertIfNegative val="0"/>
          <c:cat>
            <c:strRef>
              <c:f>Folha1!$AQ$8:$AQ$12</c:f>
              <c:strCache>
                <c:ptCount val="5"/>
                <c:pt idx="0">
                  <c:v>5º</c:v>
                </c:pt>
                <c:pt idx="1">
                  <c:v>6º</c:v>
                </c:pt>
                <c:pt idx="2">
                  <c:v>7º</c:v>
                </c:pt>
                <c:pt idx="3">
                  <c:v>8º</c:v>
                </c:pt>
                <c:pt idx="4">
                  <c:v>9º</c:v>
                </c:pt>
              </c:strCache>
            </c:strRef>
          </c:cat>
          <c:val>
            <c:numRef>
              <c:f>Folha1!$AT$8:$AT$12</c:f>
              <c:numCache>
                <c:formatCode>0.0%</c:formatCode>
                <c:ptCount val="5"/>
                <c:pt idx="0">
                  <c:v>0.52941176470588236</c:v>
                </c:pt>
                <c:pt idx="1">
                  <c:v>0.375</c:v>
                </c:pt>
                <c:pt idx="2">
                  <c:v>0.4</c:v>
                </c:pt>
                <c:pt idx="3">
                  <c:v>0.375</c:v>
                </c:pt>
                <c:pt idx="4">
                  <c:v>0.69230769230769229</c:v>
                </c:pt>
              </c:numCache>
            </c:numRef>
          </c:val>
        </c:ser>
        <c:dLbls>
          <c:showLegendKey val="0"/>
          <c:showVal val="0"/>
          <c:showCatName val="0"/>
          <c:showSerName val="0"/>
          <c:showPercent val="0"/>
          <c:showBubbleSize val="0"/>
        </c:dLbls>
        <c:gapWidth val="75"/>
        <c:shape val="box"/>
        <c:axId val="192447488"/>
        <c:axId val="194210048"/>
        <c:axId val="0"/>
      </c:bar3DChart>
      <c:catAx>
        <c:axId val="192447488"/>
        <c:scaling>
          <c:orientation val="minMax"/>
        </c:scaling>
        <c:delete val="0"/>
        <c:axPos val="b"/>
        <c:majorTickMark val="none"/>
        <c:minorTickMark val="none"/>
        <c:tickLblPos val="nextTo"/>
        <c:crossAx val="194210048"/>
        <c:crosses val="autoZero"/>
        <c:auto val="1"/>
        <c:lblAlgn val="ctr"/>
        <c:lblOffset val="100"/>
        <c:noMultiLvlLbl val="0"/>
      </c:catAx>
      <c:valAx>
        <c:axId val="194210048"/>
        <c:scaling>
          <c:orientation val="minMax"/>
          <c:max val="1"/>
        </c:scaling>
        <c:delete val="0"/>
        <c:axPos val="l"/>
        <c:majorGridlines/>
        <c:numFmt formatCode="0%" sourceLinked="0"/>
        <c:majorTickMark val="none"/>
        <c:minorTickMark val="none"/>
        <c:tickLblPos val="nextTo"/>
        <c:spPr>
          <a:ln w="9525">
            <a:noFill/>
          </a:ln>
        </c:spPr>
        <c:crossAx val="192447488"/>
        <c:crosses val="autoZero"/>
        <c:crossBetween val="between"/>
        <c:majorUnit val="0.2"/>
      </c:valAx>
    </c:plotArea>
    <c:legend>
      <c:legendPos val="b"/>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APOIO A MATEMÁTICA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Folha1!$AM$7</c:f>
              <c:strCache>
                <c:ptCount val="1"/>
                <c:pt idx="0">
                  <c:v>2006/07</c:v>
                </c:pt>
              </c:strCache>
            </c:strRef>
          </c:tx>
          <c:invertIfNegative val="0"/>
          <c:cat>
            <c:strRef>
              <c:f>Folha1!$AL$8:$AL$12</c:f>
              <c:strCache>
                <c:ptCount val="5"/>
                <c:pt idx="0">
                  <c:v>5º</c:v>
                </c:pt>
                <c:pt idx="1">
                  <c:v>6º</c:v>
                </c:pt>
                <c:pt idx="2">
                  <c:v>7º</c:v>
                </c:pt>
                <c:pt idx="3">
                  <c:v>8º</c:v>
                </c:pt>
                <c:pt idx="4">
                  <c:v>9º</c:v>
                </c:pt>
              </c:strCache>
            </c:strRef>
          </c:cat>
          <c:val>
            <c:numRef>
              <c:f>Folha1!$AM$8:$AM$12</c:f>
              <c:numCache>
                <c:formatCode>0.0%</c:formatCode>
                <c:ptCount val="5"/>
                <c:pt idx="0">
                  <c:v>0.36799999999999999</c:v>
                </c:pt>
                <c:pt idx="1">
                  <c:v>0.5</c:v>
                </c:pt>
                <c:pt idx="2">
                  <c:v>1</c:v>
                </c:pt>
                <c:pt idx="3">
                  <c:v>0.375</c:v>
                </c:pt>
                <c:pt idx="4">
                  <c:v>0</c:v>
                </c:pt>
              </c:numCache>
            </c:numRef>
          </c:val>
        </c:ser>
        <c:ser>
          <c:idx val="1"/>
          <c:order val="1"/>
          <c:tx>
            <c:strRef>
              <c:f>Folha1!$AN$7</c:f>
              <c:strCache>
                <c:ptCount val="1"/>
                <c:pt idx="0">
                  <c:v>2007/08</c:v>
                </c:pt>
              </c:strCache>
            </c:strRef>
          </c:tx>
          <c:invertIfNegative val="0"/>
          <c:cat>
            <c:strRef>
              <c:f>Folha1!$AL$8:$AL$12</c:f>
              <c:strCache>
                <c:ptCount val="5"/>
                <c:pt idx="0">
                  <c:v>5º</c:v>
                </c:pt>
                <c:pt idx="1">
                  <c:v>6º</c:v>
                </c:pt>
                <c:pt idx="2">
                  <c:v>7º</c:v>
                </c:pt>
                <c:pt idx="3">
                  <c:v>8º</c:v>
                </c:pt>
                <c:pt idx="4">
                  <c:v>9º</c:v>
                </c:pt>
              </c:strCache>
            </c:strRef>
          </c:cat>
          <c:val>
            <c:numRef>
              <c:f>Folha1!$AN$8:$AN$12</c:f>
              <c:numCache>
                <c:formatCode>0.0%</c:formatCode>
                <c:ptCount val="5"/>
                <c:pt idx="0">
                  <c:v>0.44897959183673469</c:v>
                </c:pt>
                <c:pt idx="1">
                  <c:v>0.61764705882352944</c:v>
                </c:pt>
                <c:pt idx="2">
                  <c:v>0.52631578947368418</c:v>
                </c:pt>
                <c:pt idx="3">
                  <c:v>0</c:v>
                </c:pt>
                <c:pt idx="4">
                  <c:v>0.33333333333333331</c:v>
                </c:pt>
              </c:numCache>
            </c:numRef>
          </c:val>
        </c:ser>
        <c:ser>
          <c:idx val="2"/>
          <c:order val="2"/>
          <c:tx>
            <c:strRef>
              <c:f>Folha1!$AO$7</c:f>
              <c:strCache>
                <c:ptCount val="1"/>
                <c:pt idx="0">
                  <c:v>2008/09</c:v>
                </c:pt>
              </c:strCache>
            </c:strRef>
          </c:tx>
          <c:invertIfNegative val="0"/>
          <c:cat>
            <c:strRef>
              <c:f>Folha1!$AL$8:$AL$12</c:f>
              <c:strCache>
                <c:ptCount val="5"/>
                <c:pt idx="0">
                  <c:v>5º</c:v>
                </c:pt>
                <c:pt idx="1">
                  <c:v>6º</c:v>
                </c:pt>
                <c:pt idx="2">
                  <c:v>7º</c:v>
                </c:pt>
                <c:pt idx="3">
                  <c:v>8º</c:v>
                </c:pt>
                <c:pt idx="4">
                  <c:v>9º</c:v>
                </c:pt>
              </c:strCache>
            </c:strRef>
          </c:cat>
          <c:val>
            <c:numRef>
              <c:f>Folha1!$AO$8:$AO$12</c:f>
              <c:numCache>
                <c:formatCode>0.0%</c:formatCode>
                <c:ptCount val="5"/>
                <c:pt idx="0">
                  <c:v>0.5</c:v>
                </c:pt>
                <c:pt idx="1">
                  <c:v>0.47619047619047616</c:v>
                </c:pt>
                <c:pt idx="2">
                  <c:v>0.46153846153846156</c:v>
                </c:pt>
                <c:pt idx="3">
                  <c:v>0.5714285714285714</c:v>
                </c:pt>
                <c:pt idx="4">
                  <c:v>0.3</c:v>
                </c:pt>
              </c:numCache>
            </c:numRef>
          </c:val>
        </c:ser>
        <c:dLbls>
          <c:showLegendKey val="0"/>
          <c:showVal val="0"/>
          <c:showCatName val="0"/>
          <c:showSerName val="0"/>
          <c:showPercent val="0"/>
          <c:showBubbleSize val="0"/>
        </c:dLbls>
        <c:gapWidth val="75"/>
        <c:shape val="box"/>
        <c:axId val="194680320"/>
        <c:axId val="194212352"/>
        <c:axId val="0"/>
      </c:bar3DChart>
      <c:catAx>
        <c:axId val="194680320"/>
        <c:scaling>
          <c:orientation val="minMax"/>
        </c:scaling>
        <c:delete val="0"/>
        <c:axPos val="b"/>
        <c:majorTickMark val="none"/>
        <c:minorTickMark val="none"/>
        <c:tickLblPos val="nextTo"/>
        <c:crossAx val="194212352"/>
        <c:crosses val="autoZero"/>
        <c:auto val="1"/>
        <c:lblAlgn val="ctr"/>
        <c:lblOffset val="100"/>
        <c:noMultiLvlLbl val="0"/>
      </c:catAx>
      <c:valAx>
        <c:axId val="194212352"/>
        <c:scaling>
          <c:orientation val="minMax"/>
        </c:scaling>
        <c:delete val="0"/>
        <c:axPos val="l"/>
        <c:majorGridlines/>
        <c:numFmt formatCode="0%" sourceLinked="0"/>
        <c:majorTickMark val="none"/>
        <c:minorTickMark val="none"/>
        <c:tickLblPos val="nextTo"/>
        <c:spPr>
          <a:ln w="9525">
            <a:noFill/>
          </a:ln>
        </c:spPr>
        <c:crossAx val="194680320"/>
        <c:crosses val="autoZero"/>
        <c:crossBetween val="between"/>
      </c:valAx>
    </c:plotArea>
    <c:legend>
      <c:legendPos val="b"/>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57851239669419"/>
          <c:y val="0.16315831403760803"/>
          <c:w val="0.70743801652892935"/>
          <c:h val="0.60000154194475208"/>
        </c:manualLayout>
      </c:layout>
      <c:barChart>
        <c:barDir val="col"/>
        <c:grouping val="clustered"/>
        <c:varyColors val="0"/>
        <c:ser>
          <c:idx val="0"/>
          <c:order val="0"/>
          <c:tx>
            <c:v>5º ANO</c:v>
          </c:tx>
          <c:spPr>
            <a:solidFill>
              <a:srgbClr val="0070C0"/>
            </a:solidFill>
            <a:ln w="12700">
              <a:solidFill>
                <a:srgbClr val="000000"/>
              </a:solidFill>
              <a:prstDash val="solid"/>
            </a:ln>
          </c:spPr>
          <c:invertIfNegative val="0"/>
          <c:cat>
            <c:strLit>
              <c:ptCount val="4"/>
              <c:pt idx="0">
                <c:v>E.V.T.</c:v>
              </c:pt>
              <c:pt idx="1">
                <c:v>E.M.</c:v>
              </c:pt>
              <c:pt idx="2">
                <c:v>E.F.</c:v>
              </c:pt>
              <c:pt idx="3">
                <c:v>E.M.R.C.</c:v>
              </c:pt>
            </c:strLit>
          </c:cat>
          <c:val>
            <c:numRef>
              <c:f>('3 - APROV POR ANO E DISC.'!$D$18,'3 - APROV POR ANO E DISC.'!$F$18,'3 - APROV POR ANO E DISC.'!$H$18,'3 - APROV POR ANO E DISC.'!$J$18)</c:f>
              <c:numCache>
                <c:formatCode>0.00%</c:formatCode>
                <c:ptCount val="4"/>
                <c:pt idx="0">
                  <c:v>0.82706766917293228</c:v>
                </c:pt>
                <c:pt idx="1">
                  <c:v>0.80451127819548873</c:v>
                </c:pt>
                <c:pt idx="2">
                  <c:v>0.90225563909774431</c:v>
                </c:pt>
                <c:pt idx="3">
                  <c:v>0.95454545454545459</c:v>
                </c:pt>
              </c:numCache>
            </c:numRef>
          </c:val>
        </c:ser>
        <c:ser>
          <c:idx val="1"/>
          <c:order val="1"/>
          <c:tx>
            <c:v>6º ANO</c:v>
          </c:tx>
          <c:spPr>
            <a:solidFill>
              <a:srgbClr val="FF00FF"/>
            </a:solidFill>
            <a:ln w="12700">
              <a:solidFill>
                <a:srgbClr val="000000"/>
              </a:solidFill>
              <a:prstDash val="solid"/>
            </a:ln>
          </c:spPr>
          <c:invertIfNegative val="0"/>
          <c:cat>
            <c:strLit>
              <c:ptCount val="4"/>
              <c:pt idx="0">
                <c:v>E.V.T.</c:v>
              </c:pt>
              <c:pt idx="1">
                <c:v>E.M.</c:v>
              </c:pt>
              <c:pt idx="2">
                <c:v>E.F.</c:v>
              </c:pt>
              <c:pt idx="3">
                <c:v>E.M.R.C.</c:v>
              </c:pt>
            </c:strLit>
          </c:cat>
          <c:val>
            <c:numRef>
              <c:f>('3 - APROV POR ANO E DISC.'!$D$19,'3 - APROV POR ANO E DISC.'!$F$19,'3 - APROV POR ANO E DISC.'!$H$19,'3 - APROV POR ANO E DISC.'!$J$19)</c:f>
              <c:numCache>
                <c:formatCode>0.00%</c:formatCode>
                <c:ptCount val="4"/>
                <c:pt idx="0">
                  <c:v>0.89682539682539686</c:v>
                </c:pt>
                <c:pt idx="1">
                  <c:v>0.81746031746031744</c:v>
                </c:pt>
                <c:pt idx="2">
                  <c:v>0.91269841269841268</c:v>
                </c:pt>
                <c:pt idx="3">
                  <c:v>1</c:v>
                </c:pt>
              </c:numCache>
            </c:numRef>
          </c:val>
        </c:ser>
        <c:ser>
          <c:idx val="2"/>
          <c:order val="2"/>
          <c:tx>
            <c:v>TOTAL</c:v>
          </c:tx>
          <c:spPr>
            <a:solidFill>
              <a:schemeClr val="tx2">
                <a:lumMod val="20000"/>
                <a:lumOff val="80000"/>
              </a:schemeClr>
            </a:solidFill>
            <a:ln w="12700">
              <a:solidFill>
                <a:srgbClr val="000000"/>
              </a:solidFill>
              <a:prstDash val="solid"/>
            </a:ln>
          </c:spPr>
          <c:invertIfNegative val="0"/>
          <c:cat>
            <c:strLit>
              <c:ptCount val="4"/>
              <c:pt idx="0">
                <c:v>E.V.T.</c:v>
              </c:pt>
              <c:pt idx="1">
                <c:v>E.M.</c:v>
              </c:pt>
              <c:pt idx="2">
                <c:v>E.F.</c:v>
              </c:pt>
              <c:pt idx="3">
                <c:v>E.M.R.C.</c:v>
              </c:pt>
            </c:strLit>
          </c:cat>
          <c:val>
            <c:numRef>
              <c:f>('3 - APROV POR ANO E DISC.'!$D$20,'3 - APROV POR ANO E DISC.'!$F$20,'3 - APROV POR ANO E DISC.'!$H$20,'3 - APROV POR ANO E DISC.'!$J$20)</c:f>
              <c:numCache>
                <c:formatCode>0.00%</c:formatCode>
                <c:ptCount val="4"/>
                <c:pt idx="0">
                  <c:v>0.86100386100386095</c:v>
                </c:pt>
                <c:pt idx="1">
                  <c:v>0.81081081081081086</c:v>
                </c:pt>
                <c:pt idx="2">
                  <c:v>0.9073359073359073</c:v>
                </c:pt>
                <c:pt idx="3">
                  <c:v>0.978494623655914</c:v>
                </c:pt>
              </c:numCache>
            </c:numRef>
          </c:val>
        </c:ser>
        <c:dLbls>
          <c:showLegendKey val="0"/>
          <c:showVal val="0"/>
          <c:showCatName val="0"/>
          <c:showSerName val="0"/>
          <c:showPercent val="0"/>
          <c:showBubbleSize val="0"/>
        </c:dLbls>
        <c:gapWidth val="150"/>
        <c:axId val="111988224"/>
        <c:axId val="170763968"/>
      </c:barChart>
      <c:catAx>
        <c:axId val="111988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70763968"/>
        <c:crosses val="autoZero"/>
        <c:auto val="1"/>
        <c:lblAlgn val="ctr"/>
        <c:lblOffset val="100"/>
        <c:tickLblSkip val="1"/>
        <c:tickMarkSkip val="1"/>
        <c:noMultiLvlLbl val="0"/>
      </c:catAx>
      <c:valAx>
        <c:axId val="170763968"/>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11988224"/>
        <c:crosses val="autoZero"/>
        <c:crossBetween val="between"/>
        <c:majorUnit val="0.2"/>
      </c:valAx>
      <c:spPr>
        <a:noFill/>
        <a:ln w="12700">
          <a:solidFill>
            <a:srgbClr val="808080"/>
          </a:solidFill>
          <a:prstDash val="solid"/>
        </a:ln>
      </c:spPr>
    </c:plotArea>
    <c:legend>
      <c:legendPos val="r"/>
      <c:overlay val="0"/>
      <c:txPr>
        <a:bodyPr/>
        <a:lstStyle/>
        <a:p>
          <a:pPr>
            <a:defRPr sz="1100"/>
          </a:pPr>
          <a:endParaRPr lang="pt-PT"/>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79696268088793E-2"/>
          <c:y val="0.13157928551420103"/>
          <c:w val="0.81081199971259998"/>
          <c:h val="0.65263325615043877"/>
        </c:manualLayout>
      </c:layout>
      <c:barChart>
        <c:barDir val="col"/>
        <c:grouping val="clustered"/>
        <c:varyColors val="0"/>
        <c:ser>
          <c:idx val="0"/>
          <c:order val="0"/>
          <c:tx>
            <c:v>5º ANO</c:v>
          </c:tx>
          <c:spPr>
            <a:solidFill>
              <a:srgbClr val="0070C0"/>
            </a:solidFill>
            <a:ln w="12700">
              <a:solidFill>
                <a:srgbClr val="000000"/>
              </a:solidFill>
              <a:prstDash val="solid"/>
            </a:ln>
          </c:spPr>
          <c:invertIfNegative val="0"/>
          <c:cat>
            <c:strLit>
              <c:ptCount val="5"/>
              <c:pt idx="0">
                <c:v>L.P.</c:v>
              </c:pt>
              <c:pt idx="1">
                <c:v>ING</c:v>
              </c:pt>
              <c:pt idx="2">
                <c:v>HGP</c:v>
              </c:pt>
              <c:pt idx="3">
                <c:v>MAT</c:v>
              </c:pt>
              <c:pt idx="4">
                <c:v>C.N.</c:v>
              </c:pt>
            </c:strLit>
          </c:cat>
          <c:val>
            <c:numRef>
              <c:f>('3 - APROV POR ANO E DISC.'!$D$11,'3 - APROV POR ANO E DISC.'!$F$11,'3 - APROV POR ANO E DISC.'!$H$11,'3 - APROV POR ANO E DISC.'!$J$11,'3 - APROV POR ANO E DISC.'!$L$11)</c:f>
              <c:numCache>
                <c:formatCode>0.00%</c:formatCode>
                <c:ptCount val="5"/>
                <c:pt idx="0">
                  <c:v>0.72180451127819545</c:v>
                </c:pt>
                <c:pt idx="1">
                  <c:v>0.7142857142857143</c:v>
                </c:pt>
                <c:pt idx="2">
                  <c:v>0.78947368421052633</c:v>
                </c:pt>
                <c:pt idx="3">
                  <c:v>0.63909774436090228</c:v>
                </c:pt>
                <c:pt idx="4">
                  <c:v>0.76691729323308266</c:v>
                </c:pt>
              </c:numCache>
            </c:numRef>
          </c:val>
        </c:ser>
        <c:ser>
          <c:idx val="1"/>
          <c:order val="1"/>
          <c:tx>
            <c:v>6º ANO</c:v>
          </c:tx>
          <c:spPr>
            <a:solidFill>
              <a:srgbClr val="FF00FF"/>
            </a:solidFill>
            <a:ln w="12700">
              <a:solidFill>
                <a:srgbClr val="000000"/>
              </a:solidFill>
              <a:prstDash val="solid"/>
            </a:ln>
          </c:spPr>
          <c:invertIfNegative val="0"/>
          <c:cat>
            <c:strLit>
              <c:ptCount val="5"/>
              <c:pt idx="0">
                <c:v>L.P.</c:v>
              </c:pt>
              <c:pt idx="1">
                <c:v>ING</c:v>
              </c:pt>
              <c:pt idx="2">
                <c:v>HGP</c:v>
              </c:pt>
              <c:pt idx="3">
                <c:v>MAT</c:v>
              </c:pt>
              <c:pt idx="4">
                <c:v>C.N.</c:v>
              </c:pt>
            </c:strLit>
          </c:cat>
          <c:val>
            <c:numRef>
              <c:f>('3 - APROV POR ANO E DISC.'!$D$12,'3 - APROV POR ANO E DISC.'!$F$12,'3 - APROV POR ANO E DISC.'!$H$12,'3 - APROV POR ANO E DISC.'!$J$12,'3 - APROV POR ANO E DISC.'!$L$12)</c:f>
              <c:numCache>
                <c:formatCode>0.00%</c:formatCode>
                <c:ptCount val="5"/>
                <c:pt idx="0">
                  <c:v>0.74603174603174605</c:v>
                </c:pt>
                <c:pt idx="1">
                  <c:v>0.68253968253968256</c:v>
                </c:pt>
                <c:pt idx="2">
                  <c:v>0.7857142857142857</c:v>
                </c:pt>
                <c:pt idx="3">
                  <c:v>0.63492063492063489</c:v>
                </c:pt>
                <c:pt idx="4">
                  <c:v>0.84126984126984128</c:v>
                </c:pt>
              </c:numCache>
            </c:numRef>
          </c:val>
        </c:ser>
        <c:ser>
          <c:idx val="2"/>
          <c:order val="2"/>
          <c:tx>
            <c:v>TOTAL</c:v>
          </c:tx>
          <c:spPr>
            <a:solidFill>
              <a:schemeClr val="tx2">
                <a:lumMod val="20000"/>
                <a:lumOff val="80000"/>
              </a:schemeClr>
            </a:solidFill>
            <a:ln w="12700">
              <a:solidFill>
                <a:srgbClr val="000000"/>
              </a:solidFill>
              <a:prstDash val="solid"/>
            </a:ln>
          </c:spPr>
          <c:invertIfNegative val="0"/>
          <c:cat>
            <c:strLit>
              <c:ptCount val="5"/>
              <c:pt idx="0">
                <c:v>L.P.</c:v>
              </c:pt>
              <c:pt idx="1">
                <c:v>ING</c:v>
              </c:pt>
              <c:pt idx="2">
                <c:v>HGP</c:v>
              </c:pt>
              <c:pt idx="3">
                <c:v>MAT</c:v>
              </c:pt>
              <c:pt idx="4">
                <c:v>C.N.</c:v>
              </c:pt>
            </c:strLit>
          </c:cat>
          <c:val>
            <c:numRef>
              <c:f>('3 - APROV POR ANO E DISC.'!$D$13,'3 - APROV POR ANO E DISC.'!$F$13,'3 - APROV POR ANO E DISC.'!$H$13,'3 - APROV POR ANO E DISC.'!$J$13,'3 - APROV POR ANO E DISC.'!$L$13)</c:f>
              <c:numCache>
                <c:formatCode>0.00%</c:formatCode>
                <c:ptCount val="5"/>
                <c:pt idx="0">
                  <c:v>0.73359073359073357</c:v>
                </c:pt>
                <c:pt idx="1">
                  <c:v>0.69884169884169889</c:v>
                </c:pt>
                <c:pt idx="2">
                  <c:v>0.78764478764478763</c:v>
                </c:pt>
                <c:pt idx="3">
                  <c:v>0.63706563706563701</c:v>
                </c:pt>
                <c:pt idx="4">
                  <c:v>0.80308880308880304</c:v>
                </c:pt>
              </c:numCache>
            </c:numRef>
          </c:val>
        </c:ser>
        <c:dLbls>
          <c:showLegendKey val="0"/>
          <c:showVal val="0"/>
          <c:showCatName val="0"/>
          <c:showSerName val="0"/>
          <c:showPercent val="0"/>
          <c:showBubbleSize val="0"/>
        </c:dLbls>
        <c:gapWidth val="150"/>
        <c:axId val="112791552"/>
        <c:axId val="170765696"/>
      </c:barChart>
      <c:catAx>
        <c:axId val="11279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70765696"/>
        <c:crosses val="autoZero"/>
        <c:auto val="1"/>
        <c:lblAlgn val="ctr"/>
        <c:lblOffset val="100"/>
        <c:tickLblSkip val="1"/>
        <c:tickMarkSkip val="1"/>
        <c:noMultiLvlLbl val="0"/>
      </c:catAx>
      <c:valAx>
        <c:axId val="17076569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PT"/>
          </a:p>
        </c:txPr>
        <c:crossAx val="112791552"/>
        <c:crosses val="autoZero"/>
        <c:crossBetween val="between"/>
        <c:majorUnit val="0.2"/>
      </c:valAx>
      <c:spPr>
        <a:noFill/>
        <a:ln w="12700">
          <a:solidFill>
            <a:srgbClr val="808080"/>
          </a:solidFill>
          <a:prstDash val="solid"/>
        </a:ln>
      </c:spPr>
    </c:plotArea>
    <c:legend>
      <c:legendPos val="r"/>
      <c:layout>
        <c:manualLayout>
          <c:xMode val="edge"/>
          <c:yMode val="edge"/>
          <c:x val="0.90490541685611314"/>
          <c:y val="0.33552459577398869"/>
          <c:w val="8.2582703674431684E-2"/>
          <c:h val="0.30526394239294624"/>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pt-PT"/>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861842072616975E-2"/>
          <c:y val="0.11203270519965455"/>
          <c:w val="0.81540126047118522"/>
          <c:h val="0.62775819355245965"/>
        </c:manualLayout>
      </c:layout>
      <c:barChart>
        <c:barDir val="col"/>
        <c:grouping val="clustered"/>
        <c:varyColors val="0"/>
        <c:ser>
          <c:idx val="0"/>
          <c:order val="0"/>
          <c:tx>
            <c:v>7º ANO</c:v>
          </c:tx>
          <c:spPr>
            <a:solidFill>
              <a:srgbClr val="FFFF00"/>
            </a:solidFill>
            <a:ln w="12700">
              <a:solidFill>
                <a:srgbClr val="000000"/>
              </a:solidFill>
              <a:prstDash val="solid"/>
            </a:ln>
          </c:spPr>
          <c:invertIfNegative val="0"/>
          <c:cat>
            <c:strLit>
              <c:ptCount val="5"/>
              <c:pt idx="0">
                <c:v>LP</c:v>
              </c:pt>
              <c:pt idx="1">
                <c:v>ING</c:v>
              </c:pt>
              <c:pt idx="2">
                <c:v>FRANC</c:v>
              </c:pt>
              <c:pt idx="3">
                <c:v>ESPANHOL</c:v>
              </c:pt>
              <c:pt idx="4">
                <c:v>HGP</c:v>
              </c:pt>
            </c:strLit>
          </c:cat>
          <c:val>
            <c:numRef>
              <c:f>('3 - APROV POR ANO E DISC.'!$P$14,'3 - APROV POR ANO E DISC.'!$R$14,'3 - APROV POR ANO E DISC.'!$T$14,'3 - APROV POR ANO E DISC.'!$V$14,'3 - APROV POR ANO E DISC.'!$X$14)</c:f>
              <c:numCache>
                <c:formatCode>0.00%</c:formatCode>
                <c:ptCount val="5"/>
                <c:pt idx="0">
                  <c:v>0.61111111111111116</c:v>
                </c:pt>
                <c:pt idx="1">
                  <c:v>0.5679012345679012</c:v>
                </c:pt>
                <c:pt idx="2">
                  <c:v>0.62698412698412698</c:v>
                </c:pt>
                <c:pt idx="3">
                  <c:v>0.91666666666666663</c:v>
                </c:pt>
                <c:pt idx="4">
                  <c:v>0.64814814814814814</c:v>
                </c:pt>
              </c:numCache>
            </c:numRef>
          </c:val>
        </c:ser>
        <c:ser>
          <c:idx val="1"/>
          <c:order val="1"/>
          <c:tx>
            <c:v>8º ANO</c:v>
          </c:tx>
          <c:spPr>
            <a:solidFill>
              <a:srgbClr val="00FF00"/>
            </a:solidFill>
            <a:ln w="12700">
              <a:solidFill>
                <a:srgbClr val="000000"/>
              </a:solidFill>
              <a:prstDash val="solid"/>
            </a:ln>
          </c:spPr>
          <c:invertIfNegative val="0"/>
          <c:cat>
            <c:strLit>
              <c:ptCount val="5"/>
              <c:pt idx="0">
                <c:v>LP</c:v>
              </c:pt>
              <c:pt idx="1">
                <c:v>ING</c:v>
              </c:pt>
              <c:pt idx="2">
                <c:v>FRANC</c:v>
              </c:pt>
              <c:pt idx="3">
                <c:v>ESPANHOL</c:v>
              </c:pt>
              <c:pt idx="4">
                <c:v>HGP</c:v>
              </c:pt>
            </c:strLit>
          </c:cat>
          <c:val>
            <c:numRef>
              <c:f>('3 - APROV POR ANO E DISC.'!$P$15,'3 - APROV POR ANO E DISC.'!$R$15,'3 - APROV POR ANO E DISC.'!$T$15,'3 - APROV POR ANO E DISC.'!$V$15,'3 - APROV POR ANO E DISC.'!$X$15)</c:f>
              <c:numCache>
                <c:formatCode>0.00%</c:formatCode>
                <c:ptCount val="5"/>
                <c:pt idx="0">
                  <c:v>0.48333333333333334</c:v>
                </c:pt>
                <c:pt idx="1">
                  <c:v>0.70833333333333337</c:v>
                </c:pt>
                <c:pt idx="2">
                  <c:v>0.81318681318681318</c:v>
                </c:pt>
                <c:pt idx="3">
                  <c:v>0.93103448275862066</c:v>
                </c:pt>
                <c:pt idx="4">
                  <c:v>0.90833333333333333</c:v>
                </c:pt>
              </c:numCache>
            </c:numRef>
          </c:val>
        </c:ser>
        <c:ser>
          <c:idx val="2"/>
          <c:order val="2"/>
          <c:tx>
            <c:v>9º ANO</c:v>
          </c:tx>
          <c:spPr>
            <a:solidFill>
              <a:srgbClr val="FF0000"/>
            </a:solidFill>
            <a:ln w="12700">
              <a:solidFill>
                <a:srgbClr val="000000"/>
              </a:solidFill>
              <a:prstDash val="solid"/>
            </a:ln>
          </c:spPr>
          <c:invertIfNegative val="0"/>
          <c:cat>
            <c:strLit>
              <c:ptCount val="5"/>
              <c:pt idx="0">
                <c:v>LP</c:v>
              </c:pt>
              <c:pt idx="1">
                <c:v>ING</c:v>
              </c:pt>
              <c:pt idx="2">
                <c:v>FRANC</c:v>
              </c:pt>
              <c:pt idx="3">
                <c:v>ESPANHOL</c:v>
              </c:pt>
              <c:pt idx="4">
                <c:v>HGP</c:v>
              </c:pt>
            </c:strLit>
          </c:cat>
          <c:val>
            <c:numRef>
              <c:f>('3 - APROV POR ANO E DISC.'!$P$16,'3 - APROV POR ANO E DISC.'!$R$16,'3 - APROV POR ANO E DISC.'!$T$16,'3 - APROV POR ANO E DISC.'!$V$16,'3 - APROV POR ANO E DISC.'!$X$16)</c:f>
              <c:numCache>
                <c:formatCode>0.00%</c:formatCode>
                <c:ptCount val="5"/>
                <c:pt idx="0">
                  <c:v>0.88983050847457623</c:v>
                </c:pt>
                <c:pt idx="1">
                  <c:v>0.89830508474576276</c:v>
                </c:pt>
                <c:pt idx="2">
                  <c:v>0.65625</c:v>
                </c:pt>
                <c:pt idx="3">
                  <c:v>0.95454545454545459</c:v>
                </c:pt>
                <c:pt idx="4">
                  <c:v>0.88983050847457623</c:v>
                </c:pt>
              </c:numCache>
            </c:numRef>
          </c:val>
        </c:ser>
        <c:ser>
          <c:idx val="3"/>
          <c:order val="3"/>
          <c:tx>
            <c:v>TOTAL</c:v>
          </c:tx>
          <c:spPr>
            <a:solidFill>
              <a:schemeClr val="tx2">
                <a:lumMod val="20000"/>
                <a:lumOff val="80000"/>
              </a:schemeClr>
            </a:solidFill>
            <a:ln w="12700">
              <a:solidFill>
                <a:srgbClr val="000000"/>
              </a:solidFill>
              <a:prstDash val="solid"/>
            </a:ln>
          </c:spPr>
          <c:invertIfNegative val="0"/>
          <c:cat>
            <c:strLit>
              <c:ptCount val="5"/>
              <c:pt idx="0">
                <c:v>LP</c:v>
              </c:pt>
              <c:pt idx="1">
                <c:v>ING</c:v>
              </c:pt>
              <c:pt idx="2">
                <c:v>FRANC</c:v>
              </c:pt>
              <c:pt idx="3">
                <c:v>ESPANHOL</c:v>
              </c:pt>
              <c:pt idx="4">
                <c:v>HGP</c:v>
              </c:pt>
            </c:strLit>
          </c:cat>
          <c:val>
            <c:numRef>
              <c:f>('3 - APROV POR ANO E DISC.'!$P$17,'3 - APROV POR ANO E DISC.'!$R$17,'3 - APROV POR ANO E DISC.'!$T$17,'3 - APROV POR ANO E DISC.'!$V$17,'3 - APROV POR ANO E DISC.'!$X$17)</c:f>
              <c:numCache>
                <c:formatCode>0.00%</c:formatCode>
                <c:ptCount val="5"/>
                <c:pt idx="0">
                  <c:v>0.65500000000000003</c:v>
                </c:pt>
                <c:pt idx="1">
                  <c:v>0.70750000000000002</c:v>
                </c:pt>
                <c:pt idx="2">
                  <c:v>0.579088471849866</c:v>
                </c:pt>
                <c:pt idx="3">
                  <c:v>0.93103448275862066</c:v>
                </c:pt>
                <c:pt idx="4">
                  <c:v>0.79749999999999999</c:v>
                </c:pt>
              </c:numCache>
            </c:numRef>
          </c:val>
        </c:ser>
        <c:dLbls>
          <c:showLegendKey val="0"/>
          <c:showVal val="0"/>
          <c:showCatName val="0"/>
          <c:showSerName val="0"/>
          <c:showPercent val="0"/>
          <c:showBubbleSize val="0"/>
        </c:dLbls>
        <c:gapWidth val="150"/>
        <c:axId val="112793088"/>
        <c:axId val="170768576"/>
      </c:barChart>
      <c:catAx>
        <c:axId val="112793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pt-PT"/>
          </a:p>
        </c:txPr>
        <c:crossAx val="170768576"/>
        <c:crosses val="autoZero"/>
        <c:auto val="1"/>
        <c:lblAlgn val="ctr"/>
        <c:lblOffset val="100"/>
        <c:tickLblSkip val="1"/>
        <c:tickMarkSkip val="1"/>
        <c:noMultiLvlLbl val="0"/>
      </c:catAx>
      <c:valAx>
        <c:axId val="170768576"/>
        <c:scaling>
          <c:orientation val="minMax"/>
          <c:max val="1"/>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pt-PT"/>
          </a:p>
        </c:txPr>
        <c:crossAx val="112793088"/>
        <c:crosses val="autoZero"/>
        <c:crossBetween val="between"/>
        <c:majorUnit val="0.2"/>
      </c:valAx>
      <c:spPr>
        <a:noFill/>
        <a:ln w="12700">
          <a:solidFill>
            <a:srgbClr val="808080"/>
          </a:solidFill>
          <a:prstDash val="solid"/>
        </a:ln>
      </c:spPr>
    </c:plotArea>
    <c:legend>
      <c:legendPos val="r"/>
      <c:overlay val="0"/>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pt-PT"/>
    </a:p>
  </c:txPr>
  <c:printSettings>
    <c:headerFooter alignWithMargins="0"/>
    <c:pageMargins b="0.98425196899999956" l="0.78740157499999996" r="0.78740157499999996" t="0.98425196899999956" header="0" footer="0"/>
    <c:pageSetup paperSize="9" orientation="landscape" horizontalDpi="300"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50.xml"/><Relationship Id="rId13" Type="http://schemas.openxmlformats.org/officeDocument/2006/relationships/chart" Target="../charts/chart55.xml"/><Relationship Id="rId3" Type="http://schemas.openxmlformats.org/officeDocument/2006/relationships/chart" Target="../charts/chart45.xml"/><Relationship Id="rId7" Type="http://schemas.openxmlformats.org/officeDocument/2006/relationships/chart" Target="../charts/chart49.xml"/><Relationship Id="rId12" Type="http://schemas.openxmlformats.org/officeDocument/2006/relationships/chart" Target="../charts/chart54.xml"/><Relationship Id="rId2" Type="http://schemas.openxmlformats.org/officeDocument/2006/relationships/chart" Target="../charts/chart44.xml"/><Relationship Id="rId16" Type="http://schemas.openxmlformats.org/officeDocument/2006/relationships/chart" Target="../charts/chart58.xml"/><Relationship Id="rId1" Type="http://schemas.openxmlformats.org/officeDocument/2006/relationships/chart" Target="../charts/chart43.xml"/><Relationship Id="rId6" Type="http://schemas.openxmlformats.org/officeDocument/2006/relationships/chart" Target="../charts/chart48.xml"/><Relationship Id="rId11" Type="http://schemas.openxmlformats.org/officeDocument/2006/relationships/chart" Target="../charts/chart53.xml"/><Relationship Id="rId5" Type="http://schemas.openxmlformats.org/officeDocument/2006/relationships/chart" Target="../charts/chart47.xml"/><Relationship Id="rId15" Type="http://schemas.openxmlformats.org/officeDocument/2006/relationships/chart" Target="../charts/chart57.xml"/><Relationship Id="rId10" Type="http://schemas.openxmlformats.org/officeDocument/2006/relationships/chart" Target="../charts/chart52.xml"/><Relationship Id="rId4" Type="http://schemas.openxmlformats.org/officeDocument/2006/relationships/chart" Target="../charts/chart46.xml"/><Relationship Id="rId9" Type="http://schemas.openxmlformats.org/officeDocument/2006/relationships/chart" Target="../charts/chart51.xml"/><Relationship Id="rId14" Type="http://schemas.openxmlformats.org/officeDocument/2006/relationships/chart" Target="../charts/chart5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61.xml"/><Relationship Id="rId2" Type="http://schemas.openxmlformats.org/officeDocument/2006/relationships/chart" Target="../charts/chart60.xml"/><Relationship Id="rId1" Type="http://schemas.openxmlformats.org/officeDocument/2006/relationships/chart" Target="../charts/chart59.xml"/><Relationship Id="rId4" Type="http://schemas.openxmlformats.org/officeDocument/2006/relationships/chart" Target="../charts/chart62.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chart" Target="../charts/chart64.xml"/><Relationship Id="rId1" Type="http://schemas.openxmlformats.org/officeDocument/2006/relationships/chart" Target="../charts/chart6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5" Type="http://schemas.openxmlformats.org/officeDocument/2006/relationships/chart" Target="../charts/chart22.xml"/><Relationship Id="rId4"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196850</xdr:colOff>
      <xdr:row>27</xdr:row>
      <xdr:rowOff>158750</xdr:rowOff>
    </xdr:from>
    <xdr:to>
      <xdr:col>9</xdr:col>
      <xdr:colOff>206375</xdr:colOff>
      <xdr:row>44</xdr:row>
      <xdr:rowOff>57150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1</xdr:row>
      <xdr:rowOff>77909</xdr:rowOff>
    </xdr:from>
    <xdr:ext cx="8134350" cy="3646610"/>
    <xdr:sp macro="" textlink="">
      <xdr:nvSpPr>
        <xdr:cNvPr id="3" name="CaixaDeTexto 2"/>
        <xdr:cNvSpPr txBox="1"/>
      </xdr:nvSpPr>
      <xdr:spPr>
        <a:xfrm>
          <a:off x="0" y="277934"/>
          <a:ext cx="8134350" cy="3646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solidFill>
                <a:schemeClr val="tx1"/>
              </a:solidFill>
              <a:latin typeface="Lucida Sans Unicode" pitchFamily="34" charset="0"/>
              <a:ea typeface="+mn-ea"/>
              <a:cs typeface="Lucida Sans Unicode" pitchFamily="34" charset="0"/>
            </a:rPr>
            <a:t>Ao fazer a recolha dos níveis atribuídos a cada aluno no terceiro período do ano lectivo 2008/09, constatámos que existem três alunos do 2º ciclo que apesar de terem sido avaliados, não têm níveis atribuidos. Daí, a necessidade de estabelecer uma distinção entre "Total de alunos" e "Total de alunos com níveis". N</a:t>
          </a:r>
          <a:r>
            <a:rPr lang="pt-PT" sz="1400" baseline="0">
              <a:solidFill>
                <a:schemeClr val="tx1"/>
              </a:solidFill>
              <a:latin typeface="Lucida Sans Unicode" pitchFamily="34" charset="0"/>
              <a:ea typeface="+mn-ea"/>
              <a:cs typeface="Lucida Sans Unicode" pitchFamily="34" charset="0"/>
            </a:rPr>
            <a:t>a turma CEF 2 OI, não podemos contabilizar dois alunos para efeito de progressão/retenção, uma vez que ainda se encontram em formação prática em contexto de trabalho.</a:t>
          </a:r>
          <a:endParaRPr lang="pt-PT" sz="1400">
            <a:latin typeface="Lucida Sans Unicode" pitchFamily="34" charset="0"/>
            <a:cs typeface="Lucida Sans Unicode" pitchFamily="34" charset="0"/>
          </a:endParaRPr>
        </a:p>
        <a:p>
          <a:r>
            <a:rPr lang="pt-PT" sz="1400">
              <a:solidFill>
                <a:schemeClr val="tx1"/>
              </a:solidFill>
              <a:latin typeface="Lucida Sans Unicode" pitchFamily="34" charset="0"/>
              <a:ea typeface="+mn-ea"/>
              <a:cs typeface="Lucida Sans Unicode" pitchFamily="34" charset="0"/>
            </a:rPr>
            <a:t>Fazendo uma comparação entre a progressão e a retenção dos alunos por ano, verificamos que o 7º ano é aquele que apresenta maior taxa de retenção (36,4%), seguido do 5º ano (20,3%).</a:t>
          </a:r>
        </a:p>
        <a:p>
          <a:r>
            <a:rPr lang="pt-PT" sz="1400">
              <a:solidFill>
                <a:schemeClr val="tx1"/>
              </a:solidFill>
              <a:latin typeface="Lucida Sans Unicode" pitchFamily="34" charset="0"/>
              <a:ea typeface="+mn-ea"/>
              <a:cs typeface="Lucida Sans Unicode" pitchFamily="34" charset="0"/>
            </a:rPr>
            <a:t>Comparando estes resultados com os do ano lectivo anterior, podemos verificar que houve um aumento na taxa de retenção em todos os anos, excepto no 6º, no qual houve uma descida de 0,4%. O maior aumento registou-se no 9º ano, passando de 7,1% para 17,8%.</a:t>
          </a:r>
        </a:p>
      </xdr:txBody>
    </xdr:sp>
    <xdr:clientData/>
  </xdr:oneCellAnchor>
  <xdr:twoCellAnchor>
    <xdr:from>
      <xdr:col>0</xdr:col>
      <xdr:colOff>0</xdr:colOff>
      <xdr:row>29</xdr:row>
      <xdr:rowOff>0</xdr:rowOff>
    </xdr:from>
    <xdr:to>
      <xdr:col>4</xdr:col>
      <xdr:colOff>771525</xdr:colOff>
      <xdr:row>44</xdr:row>
      <xdr:rowOff>47625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0.07895</cdr:x>
      <cdr:y>0.24198</cdr:y>
    </cdr:from>
    <cdr:to>
      <cdr:x>0.73497</cdr:x>
      <cdr:y>0.24354</cdr:y>
    </cdr:to>
    <cdr:sp macro="" textlink="">
      <cdr:nvSpPr>
        <cdr:cNvPr id="3" name="Conexão recta 2"/>
        <cdr:cNvSpPr/>
      </cdr:nvSpPr>
      <cdr:spPr>
        <a:xfrm xmlns:a="http://schemas.openxmlformats.org/drawingml/2006/main">
          <a:off x="612870" y="624617"/>
          <a:ext cx="5092605" cy="4032"/>
        </a:xfrm>
        <a:prstGeom xmlns:a="http://schemas.openxmlformats.org/drawingml/2006/main" prst="line">
          <a:avLst/>
        </a:prstGeom>
        <a:ln xmlns:a="http://schemas.openxmlformats.org/drawingml/2006/main" w="57150">
          <a:solidFill>
            <a:srgbClr val="00206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dr:relSizeAnchor xmlns:cdr="http://schemas.openxmlformats.org/drawingml/2006/chartDrawing">
    <cdr:from>
      <cdr:x>0.42708</cdr:x>
      <cdr:y>0.28819</cdr:y>
    </cdr:from>
    <cdr:to>
      <cdr:x>0.62708</cdr:x>
      <cdr:y>0.62153</cdr:y>
    </cdr:to>
    <cdr:sp macro="" textlink="">
      <cdr:nvSpPr>
        <cdr:cNvPr id="4" name="CaixaDeTexto 3"/>
        <cdr:cNvSpPr txBox="1"/>
      </cdr:nvSpPr>
      <cdr:spPr>
        <a:xfrm xmlns:a="http://schemas.openxmlformats.org/drawingml/2006/main">
          <a:off x="1952625" y="7905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1100"/>
        </a:p>
      </cdr:txBody>
    </cdr:sp>
  </cdr:relSizeAnchor>
  <cdr:relSizeAnchor xmlns:cdr="http://schemas.openxmlformats.org/drawingml/2006/chartDrawing">
    <cdr:from>
      <cdr:x>0.81055</cdr:x>
      <cdr:y>0.61002</cdr:y>
    </cdr:from>
    <cdr:to>
      <cdr:x>0.99141</cdr:x>
      <cdr:y>0.72808</cdr:y>
    </cdr:to>
    <cdr:sp macro="" textlink="">
      <cdr:nvSpPr>
        <cdr:cNvPr id="5" name="CaixaDeTexto 4"/>
        <cdr:cNvSpPr txBox="1"/>
      </cdr:nvSpPr>
      <cdr:spPr>
        <a:xfrm xmlns:a="http://schemas.openxmlformats.org/drawingml/2006/main">
          <a:off x="6292166" y="1574629"/>
          <a:ext cx="1404035" cy="3047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pt-PT" sz="1000"/>
            <a:t>Nº total de dias de aulas</a:t>
          </a:r>
        </a:p>
      </cdr:txBody>
    </cdr:sp>
  </cdr:relSizeAnchor>
  <cdr:relSizeAnchor xmlns:cdr="http://schemas.openxmlformats.org/drawingml/2006/chartDrawing">
    <cdr:from>
      <cdr:x>0.77267</cdr:x>
      <cdr:y>0.65885</cdr:y>
    </cdr:from>
    <cdr:to>
      <cdr:x>0.81314</cdr:x>
      <cdr:y>0.66232</cdr:y>
    </cdr:to>
    <cdr:sp macro="" textlink="">
      <cdr:nvSpPr>
        <cdr:cNvPr id="7" name="Conexão recta 6"/>
        <cdr:cNvSpPr/>
      </cdr:nvSpPr>
      <cdr:spPr>
        <a:xfrm xmlns:a="http://schemas.openxmlformats.org/drawingml/2006/main">
          <a:off x="5998155" y="1700673"/>
          <a:ext cx="314164" cy="8957"/>
        </a:xfrm>
        <a:prstGeom xmlns:a="http://schemas.openxmlformats.org/drawingml/2006/main" prst="line">
          <a:avLst/>
        </a:prstGeom>
        <a:ln xmlns:a="http://schemas.openxmlformats.org/drawingml/2006/main" w="57150">
          <a:solidFill>
            <a:srgbClr val="00206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238125</xdr:colOff>
      <xdr:row>16</xdr:row>
      <xdr:rowOff>28575</xdr:rowOff>
    </xdr:from>
    <xdr:to>
      <xdr:col>9</xdr:col>
      <xdr:colOff>152400</xdr:colOff>
      <xdr:row>36</xdr:row>
      <xdr:rowOff>28575</xdr:rowOff>
    </xdr:to>
    <xdr:graphicFrame macro="">
      <xdr:nvGraphicFramePr>
        <xdr:cNvPr id="112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152400</xdr:colOff>
      <xdr:row>1</xdr:row>
      <xdr:rowOff>161924</xdr:rowOff>
    </xdr:from>
    <xdr:ext cx="7848600" cy="1038225"/>
    <xdr:sp macro="" textlink="">
      <xdr:nvSpPr>
        <xdr:cNvPr id="3" name="CaixaDeTexto 2"/>
        <xdr:cNvSpPr txBox="1"/>
      </xdr:nvSpPr>
      <xdr:spPr>
        <a:xfrm>
          <a:off x="152400" y="361949"/>
          <a:ext cx="7848600" cy="1038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latin typeface="Lucida Sans Unicode" pitchFamily="34" charset="0"/>
              <a:cs typeface="Lucida Sans Unicode" pitchFamily="34" charset="0"/>
            </a:rPr>
            <a:t>Pela análise do gráfico, verifica-se que as anulações, exclusões por faltas e transferências ocorrem com maior incidência no primeiro ano dos CEF.</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xdr:col>
      <xdr:colOff>0</xdr:colOff>
      <xdr:row>17</xdr:row>
      <xdr:rowOff>190500</xdr:rowOff>
    </xdr:from>
    <xdr:to>
      <xdr:col>7</xdr:col>
      <xdr:colOff>219075</xdr:colOff>
      <xdr:row>34</xdr:row>
      <xdr:rowOff>104775</xdr:rowOff>
    </xdr:to>
    <xdr:graphicFrame macro="">
      <xdr:nvGraphicFramePr>
        <xdr:cNvPr id="92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152401</xdr:colOff>
      <xdr:row>1</xdr:row>
      <xdr:rowOff>38100</xdr:rowOff>
    </xdr:from>
    <xdr:ext cx="8020050" cy="2057400"/>
    <xdr:sp macro="" textlink="">
      <xdr:nvSpPr>
        <xdr:cNvPr id="3" name="CaixaDeTexto 2"/>
        <xdr:cNvSpPr txBox="1"/>
      </xdr:nvSpPr>
      <xdr:spPr>
        <a:xfrm>
          <a:off x="152401" y="238125"/>
          <a:ext cx="8020050" cy="2057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latin typeface="Lucida Sans Unicode" pitchFamily="34" charset="0"/>
              <a:cs typeface="Lucida Sans Unicode" pitchFamily="34" charset="0"/>
            </a:rPr>
            <a:t>Pela análise dos</a:t>
          </a:r>
          <a:r>
            <a:rPr lang="pt-PT" sz="1400" baseline="0">
              <a:latin typeface="Lucida Sans Unicode" pitchFamily="34" charset="0"/>
              <a:cs typeface="Lucida Sans Unicode" pitchFamily="34" charset="0"/>
            </a:rPr>
            <a:t> dados,</a:t>
          </a:r>
          <a:r>
            <a:rPr lang="pt-PT" sz="1400">
              <a:latin typeface="Lucida Sans Unicode" pitchFamily="34" charset="0"/>
              <a:cs typeface="Lucida Sans Unicode" pitchFamily="34" charset="0"/>
            </a:rPr>
            <a:t> verifica-se que a maior taxa de abandono escolar é no 2º ciclo (5º e 6º anos). Relativamente ao ano lectivo anterior, verifica-se uma diminuição bastante significativa na taxa de abandono escolar no 5º ano (de 4,0% para 3,01%) e no 9º ano (de 0,9% para 0%).</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428625</xdr:colOff>
      <xdr:row>32</xdr:row>
      <xdr:rowOff>142875</xdr:rowOff>
    </xdr:from>
    <xdr:to>
      <xdr:col>10</xdr:col>
      <xdr:colOff>657224</xdr:colOff>
      <xdr:row>50</xdr:row>
      <xdr:rowOff>9525</xdr:rowOff>
    </xdr:to>
    <xdr:graphicFrame macro="">
      <xdr:nvGraphicFramePr>
        <xdr:cNvPr id="71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75</xdr:row>
      <xdr:rowOff>95250</xdr:rowOff>
    </xdr:from>
    <xdr:to>
      <xdr:col>10</xdr:col>
      <xdr:colOff>561975</xdr:colOff>
      <xdr:row>91</xdr:row>
      <xdr:rowOff>152400</xdr:rowOff>
    </xdr:to>
    <xdr:graphicFrame macro="">
      <xdr:nvGraphicFramePr>
        <xdr:cNvPr id="717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209552</xdr:colOff>
      <xdr:row>92</xdr:row>
      <xdr:rowOff>133350</xdr:rowOff>
    </xdr:from>
    <xdr:to>
      <xdr:col>10</xdr:col>
      <xdr:colOff>561975</xdr:colOff>
      <xdr:row>107</xdr:row>
      <xdr:rowOff>28575</xdr:rowOff>
    </xdr:to>
    <xdr:graphicFrame macro="">
      <xdr:nvGraphicFramePr>
        <xdr:cNvPr id="717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209551</xdr:colOff>
      <xdr:row>108</xdr:row>
      <xdr:rowOff>66675</xdr:rowOff>
    </xdr:from>
    <xdr:to>
      <xdr:col>10</xdr:col>
      <xdr:colOff>723900</xdr:colOff>
      <xdr:row>124</xdr:row>
      <xdr:rowOff>47625</xdr:rowOff>
    </xdr:to>
    <xdr:graphicFrame macro="">
      <xdr:nvGraphicFramePr>
        <xdr:cNvPr id="718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133350</xdr:colOff>
      <xdr:row>3</xdr:row>
      <xdr:rowOff>38099</xdr:rowOff>
    </xdr:from>
    <xdr:ext cx="8153400" cy="1352551"/>
    <xdr:sp macro="" textlink="">
      <xdr:nvSpPr>
        <xdr:cNvPr id="6" name="CaixaDeTexto 5"/>
        <xdr:cNvSpPr txBox="1"/>
      </xdr:nvSpPr>
      <xdr:spPr>
        <a:xfrm>
          <a:off x="133350" y="561974"/>
          <a:ext cx="8153400" cy="13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latin typeface="Lucida Sans Unicode" pitchFamily="34" charset="0"/>
              <a:cs typeface="Lucida Sans Unicode" pitchFamily="34" charset="0"/>
            </a:rPr>
            <a:t>Nestes gráficos verifica-se que a Matemática foi a disciplina que teve maior número de alunos apoiados, seguida de Língua Portuguesa e finalmente de Ingês.</a:t>
          </a:r>
        </a:p>
        <a:p>
          <a:r>
            <a:rPr lang="pt-PT" sz="1400">
              <a:latin typeface="Lucida Sans Unicode" pitchFamily="34" charset="0"/>
              <a:cs typeface="Lucida Sans Unicode" pitchFamily="34" charset="0"/>
            </a:rPr>
            <a:t>Quanto ao número de alunos apoiados que obtiveram sucesso na disciplina, foi mais evidente na disciplina de Língua Portuguesa.</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2</xdr:col>
      <xdr:colOff>83409</xdr:colOff>
      <xdr:row>18</xdr:row>
      <xdr:rowOff>102973</xdr:rowOff>
    </xdr:from>
    <xdr:to>
      <xdr:col>8</xdr:col>
      <xdr:colOff>416784</xdr:colOff>
      <xdr:row>32</xdr:row>
      <xdr:rowOff>30892</xdr:rowOff>
    </xdr:to>
    <xdr:graphicFrame macro="">
      <xdr:nvGraphicFramePr>
        <xdr:cNvPr id="122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310206</xdr:colOff>
      <xdr:row>2</xdr:row>
      <xdr:rowOff>35269</xdr:rowOff>
    </xdr:from>
    <xdr:ext cx="7708814" cy="994462"/>
    <xdr:sp macro="" textlink="">
      <xdr:nvSpPr>
        <xdr:cNvPr id="3" name="CaixaDeTexto 2"/>
        <xdr:cNvSpPr txBox="1"/>
      </xdr:nvSpPr>
      <xdr:spPr>
        <a:xfrm>
          <a:off x="310206" y="408546"/>
          <a:ext cx="7708814" cy="994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solidFill>
                <a:schemeClr val="tx1"/>
              </a:solidFill>
              <a:latin typeface="Lucida Sans Unicode" pitchFamily="34" charset="0"/>
              <a:ea typeface="+mn-ea"/>
              <a:cs typeface="Lucida Sans Unicode" pitchFamily="34" charset="0"/>
            </a:rPr>
            <a:t>Da análise do quadro, verifica-se que no 6ºano de escolaridade, um quarto dos alunos com Necessidades Educativas Especiais não transitaram, o que num universo de 20 alunos, corresponde a 10% dos alunos (2 alunos).</a:t>
          </a:r>
          <a:endParaRPr lang="pt-PT" sz="1400">
            <a:latin typeface="Lucida Sans Unicode" pitchFamily="34" charset="0"/>
            <a:cs typeface="Lucida Sans Unicode" pitchFamily="34" charset="0"/>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15</xdr:col>
      <xdr:colOff>371475</xdr:colOff>
      <xdr:row>23</xdr:row>
      <xdr:rowOff>19050</xdr:rowOff>
    </xdr:from>
    <xdr:to>
      <xdr:col>24</xdr:col>
      <xdr:colOff>161925</xdr:colOff>
      <xdr:row>37</xdr:row>
      <xdr:rowOff>133350</xdr:rowOff>
    </xdr:to>
    <xdr:graphicFrame macro="">
      <xdr:nvGraphicFramePr>
        <xdr:cNvPr id="820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533400</xdr:colOff>
      <xdr:row>48</xdr:row>
      <xdr:rowOff>152400</xdr:rowOff>
    </xdr:from>
    <xdr:to>
      <xdr:col>24</xdr:col>
      <xdr:colOff>295275</xdr:colOff>
      <xdr:row>61</xdr:row>
      <xdr:rowOff>28574</xdr:rowOff>
    </xdr:to>
    <xdr:graphicFrame macro="">
      <xdr:nvGraphicFramePr>
        <xdr:cNvPr id="820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133350</xdr:colOff>
      <xdr:row>23</xdr:row>
      <xdr:rowOff>161925</xdr:rowOff>
    </xdr:from>
    <xdr:to>
      <xdr:col>11</xdr:col>
      <xdr:colOff>190500</xdr:colOff>
      <xdr:row>35</xdr:row>
      <xdr:rowOff>76200</xdr:rowOff>
    </xdr:to>
    <xdr:graphicFrame macro="">
      <xdr:nvGraphicFramePr>
        <xdr:cNvPr id="820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542925</xdr:colOff>
      <xdr:row>48</xdr:row>
      <xdr:rowOff>133351</xdr:rowOff>
    </xdr:from>
    <xdr:to>
      <xdr:col>11</xdr:col>
      <xdr:colOff>323850</xdr:colOff>
      <xdr:row>59</xdr:row>
      <xdr:rowOff>142875</xdr:rowOff>
    </xdr:to>
    <xdr:graphicFrame macro="">
      <xdr:nvGraphicFramePr>
        <xdr:cNvPr id="820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133349</xdr:colOff>
      <xdr:row>3</xdr:row>
      <xdr:rowOff>38099</xdr:rowOff>
    </xdr:from>
    <xdr:ext cx="8029575" cy="1838325"/>
    <xdr:sp macro="" textlink="">
      <xdr:nvSpPr>
        <xdr:cNvPr id="6" name="CaixaDeTexto 5"/>
        <xdr:cNvSpPr txBox="1"/>
      </xdr:nvSpPr>
      <xdr:spPr>
        <a:xfrm>
          <a:off x="133349" y="638174"/>
          <a:ext cx="8029575" cy="1838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latin typeface="Lucida Sans Unicode" pitchFamily="34" charset="0"/>
              <a:cs typeface="Lucida Sans Unicode" pitchFamily="34" charset="0"/>
            </a:rPr>
            <a:t>Pela análise  dos</a:t>
          </a:r>
          <a:r>
            <a:rPr lang="pt-PT" sz="1400" baseline="0">
              <a:latin typeface="Lucida Sans Unicode" pitchFamily="34" charset="0"/>
              <a:cs typeface="Lucida Sans Unicode" pitchFamily="34" charset="0"/>
            </a:rPr>
            <a:t> dados referentes às classificações de frequência e da Prova de Aferição,</a:t>
          </a:r>
          <a:r>
            <a:rPr lang="pt-PT" sz="1400">
              <a:latin typeface="Lucida Sans Unicode" pitchFamily="34" charset="0"/>
              <a:cs typeface="Lucida Sans Unicode" pitchFamily="34" charset="0"/>
            </a:rPr>
            <a:t> verifica-se que, a Língua Portuguesa a percentagem de negativas é inferior na classificação interna (25,4%) comparativamente com a classificação externa (30,8%);</a:t>
          </a:r>
          <a:r>
            <a:rPr lang="pt-PT" sz="1400" baseline="0">
              <a:latin typeface="Lucida Sans Unicode" pitchFamily="34" charset="0"/>
              <a:cs typeface="Lucida Sans Unicode" pitchFamily="34" charset="0"/>
            </a:rPr>
            <a:t> a Matemática</a:t>
          </a:r>
          <a:r>
            <a:rPr lang="pt-PT" sz="1400">
              <a:latin typeface="Lucida Sans Unicode" pitchFamily="34" charset="0"/>
              <a:cs typeface="Lucida Sans Unicode" pitchFamily="34" charset="0"/>
            </a:rPr>
            <a:t>, a percentagem de negativas é também inferior na classificação interna (36,5%) em relação à classificação externa (51,3%).</a:t>
          </a:r>
        </a:p>
      </xdr:txBody>
    </xdr:sp>
    <xdr:clientData/>
  </xdr:oneCellAnchor>
  <xdr:oneCellAnchor>
    <xdr:from>
      <xdr:col>13</xdr:col>
      <xdr:colOff>114301</xdr:colOff>
      <xdr:row>2</xdr:row>
      <xdr:rowOff>19050</xdr:rowOff>
    </xdr:from>
    <xdr:ext cx="7741142" cy="1838325"/>
    <xdr:sp macro="" textlink="">
      <xdr:nvSpPr>
        <xdr:cNvPr id="7" name="CaixaDeTexto 6"/>
        <xdr:cNvSpPr txBox="1"/>
      </xdr:nvSpPr>
      <xdr:spPr>
        <a:xfrm>
          <a:off x="8505826" y="419100"/>
          <a:ext cx="7741142" cy="1838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latin typeface="Lucida Sans Unicode" pitchFamily="34" charset="0"/>
              <a:cs typeface="Lucida Sans Unicode" pitchFamily="34" charset="0"/>
            </a:rPr>
            <a:t>Pela análise  dos</a:t>
          </a:r>
          <a:r>
            <a:rPr lang="pt-PT" sz="1400" baseline="0">
              <a:latin typeface="Lucida Sans Unicode" pitchFamily="34" charset="0"/>
              <a:cs typeface="Lucida Sans Unicode" pitchFamily="34" charset="0"/>
            </a:rPr>
            <a:t> dados referentes às classificações de frequência e dos Exames Nacionais,</a:t>
          </a:r>
          <a:r>
            <a:rPr lang="pt-PT" sz="1400">
              <a:latin typeface="Lucida Sans Unicode" pitchFamily="34" charset="0"/>
              <a:cs typeface="Lucida Sans Unicode" pitchFamily="34" charset="0"/>
            </a:rPr>
            <a:t> verifica-se que, a Língua Portuguesa a percentagem de negativas é inferior na classificação interna (5,0%) comparativamente com a classificação externa (18,8%);</a:t>
          </a:r>
          <a:r>
            <a:rPr lang="pt-PT" sz="1400" baseline="0">
              <a:latin typeface="Lucida Sans Unicode" pitchFamily="34" charset="0"/>
              <a:cs typeface="Lucida Sans Unicode" pitchFamily="34" charset="0"/>
            </a:rPr>
            <a:t> a Matemática</a:t>
          </a:r>
          <a:r>
            <a:rPr lang="pt-PT" sz="1400">
              <a:latin typeface="Lucida Sans Unicode" pitchFamily="34" charset="0"/>
              <a:cs typeface="Lucida Sans Unicode" pitchFamily="34" charset="0"/>
            </a:rPr>
            <a:t>, a percentagem de negativas é também inferior na classificação interna (17,8%) em relação à classificação externa (52,5%).</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xdr:col>
      <xdr:colOff>330200</xdr:colOff>
      <xdr:row>18</xdr:row>
      <xdr:rowOff>104775</xdr:rowOff>
    </xdr:from>
    <xdr:to>
      <xdr:col>8</xdr:col>
      <xdr:colOff>596900</xdr:colOff>
      <xdr:row>28</xdr:row>
      <xdr:rowOff>123825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352425</xdr:colOff>
      <xdr:row>30</xdr:row>
      <xdr:rowOff>15875</xdr:rowOff>
    </xdr:from>
    <xdr:to>
      <xdr:col>8</xdr:col>
      <xdr:colOff>628650</xdr:colOff>
      <xdr:row>43</xdr:row>
      <xdr:rowOff>146050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xdr:colOff>
      <xdr:row>2</xdr:row>
      <xdr:rowOff>0</xdr:rowOff>
    </xdr:from>
    <xdr:to>
      <xdr:col>10</xdr:col>
      <xdr:colOff>600074</xdr:colOff>
      <xdr:row>6</xdr:row>
      <xdr:rowOff>66676</xdr:rowOff>
    </xdr:to>
    <xdr:sp macro="" textlink="">
      <xdr:nvSpPr>
        <xdr:cNvPr id="6" name="Text Box 4"/>
        <xdr:cNvSpPr txBox="1">
          <a:spLocks noChangeArrowheads="1"/>
        </xdr:cNvSpPr>
      </xdr:nvSpPr>
      <xdr:spPr bwMode="auto">
        <a:xfrm>
          <a:off x="66674" y="361950"/>
          <a:ext cx="8143875" cy="714376"/>
        </a:xfrm>
        <a:prstGeom prst="rect">
          <a:avLst/>
        </a:prstGeom>
        <a:noFill/>
        <a:ln w="9525">
          <a:noFill/>
          <a:miter lim="800000"/>
          <a:headEnd/>
          <a:tailEnd/>
        </a:ln>
      </xdr:spPr>
      <xdr:txBody>
        <a:bodyPr vertOverflow="clip" wrap="square" lIns="27432" tIns="22860" rIns="0" bIns="0" anchor="t" upright="1"/>
        <a:lstStyle/>
        <a:p>
          <a:pPr algn="l" rtl="0">
            <a:defRPr sz="1000"/>
          </a:pPr>
          <a:r>
            <a:rPr lang="pt-PT" sz="1400" b="0" i="0" u="none" strike="noStrike" baseline="0">
              <a:solidFill>
                <a:srgbClr val="000000"/>
              </a:solidFill>
              <a:latin typeface="Lucida Sans Unicode" pitchFamily="34" charset="0"/>
              <a:cs typeface="Lucida Sans Unicode" pitchFamily="34" charset="0"/>
            </a:rPr>
            <a:t>Da análise dos dados, verifica-se que 22,90% são alunos com ASE que não transitaram enquanto 14,90% são alunos sem ASE que não transitaram.</a:t>
          </a:r>
        </a:p>
      </xdr:txBody>
    </xdr:sp>
    <xdr:clientData/>
  </xdr:twoCellAnchor>
  <xdr:twoCellAnchor>
    <xdr:from>
      <xdr:col>0</xdr:col>
      <xdr:colOff>409575</xdr:colOff>
      <xdr:row>46</xdr:row>
      <xdr:rowOff>0</xdr:rowOff>
    </xdr:from>
    <xdr:to>
      <xdr:col>10</xdr:col>
      <xdr:colOff>447675</xdr:colOff>
      <xdr:row>63</xdr:row>
      <xdr:rowOff>139700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352425</xdr:colOff>
      <xdr:row>15</xdr:row>
      <xdr:rowOff>76201</xdr:rowOff>
    </xdr:from>
    <xdr:to>
      <xdr:col>6</xdr:col>
      <xdr:colOff>1152525</xdr:colOff>
      <xdr:row>26</xdr:row>
      <xdr:rowOff>85726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180974</xdr:colOff>
      <xdr:row>37</xdr:row>
      <xdr:rowOff>85727</xdr:rowOff>
    </xdr:from>
    <xdr:to>
      <xdr:col>7</xdr:col>
      <xdr:colOff>409574</xdr:colOff>
      <xdr:row>47</xdr:row>
      <xdr:rowOff>142875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114300</xdr:colOff>
      <xdr:row>1</xdr:row>
      <xdr:rowOff>66674</xdr:rowOff>
    </xdr:from>
    <xdr:ext cx="8153400" cy="1533525"/>
    <xdr:sp macro="" textlink="">
      <xdr:nvSpPr>
        <xdr:cNvPr id="4" name="CaixaDeTexto 3"/>
        <xdr:cNvSpPr txBox="1"/>
      </xdr:nvSpPr>
      <xdr:spPr>
        <a:xfrm>
          <a:off x="114300" y="266699"/>
          <a:ext cx="8153400" cy="1533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i="0">
              <a:latin typeface="Lucida Sans Unicode" pitchFamily="34" charset="0"/>
              <a:cs typeface="Lucida Sans Unicode" pitchFamily="34" charset="0"/>
            </a:rPr>
            <a:t>Da análise deste gráfico verifica-se que no 9º ano e</a:t>
          </a:r>
          <a:r>
            <a:rPr lang="pt-PT" sz="1400" i="0" baseline="0">
              <a:latin typeface="Lucida Sans Unicode" pitchFamily="34" charset="0"/>
              <a:cs typeface="Lucida Sans Unicode" pitchFamily="34" charset="0"/>
            </a:rPr>
            <a:t> no CEF</a:t>
          </a:r>
          <a:r>
            <a:rPr lang="pt-PT" sz="1400" i="0">
              <a:latin typeface="Lucida Sans Unicode" pitchFamily="34" charset="0"/>
              <a:cs typeface="Lucida Sans Unicode" pitchFamily="34" charset="0"/>
            </a:rPr>
            <a:t> nenhum dos alunos indicados beneficiou deste apoio.</a:t>
          </a:r>
        </a:p>
        <a:p>
          <a:r>
            <a:rPr lang="pt-PT" sz="1400" i="0">
              <a:latin typeface="Lucida Sans Unicode" pitchFamily="34" charset="0"/>
              <a:cs typeface="Lucida Sans Unicode" pitchFamily="34" charset="0"/>
            </a:rPr>
            <a:t> Foi</a:t>
          </a:r>
          <a:r>
            <a:rPr lang="pt-PT" sz="1400" i="0" baseline="0">
              <a:latin typeface="Lucida Sans Unicode" pitchFamily="34" charset="0"/>
              <a:cs typeface="Lucida Sans Unicode" pitchFamily="34" charset="0"/>
            </a:rPr>
            <a:t> n</a:t>
          </a:r>
          <a:r>
            <a:rPr lang="pt-PT" sz="1400" i="0">
              <a:latin typeface="Lucida Sans Unicode" pitchFamily="34" charset="0"/>
              <a:cs typeface="Lucida Sans Unicode" pitchFamily="34" charset="0"/>
            </a:rPr>
            <a:t>o 5º ano que a percentagem de alunos que</a:t>
          </a:r>
          <a:r>
            <a:rPr lang="pt-PT" sz="1400" i="0" baseline="0">
              <a:latin typeface="Lucida Sans Unicode" pitchFamily="34" charset="0"/>
              <a:cs typeface="Lucida Sans Unicode" pitchFamily="34" charset="0"/>
            </a:rPr>
            <a:t> beneficiou de apoio a PLNM foi maior.</a:t>
          </a:r>
          <a:endParaRPr lang="pt-PT" sz="1400" i="0">
            <a:latin typeface="Lucida Sans Unicode" pitchFamily="34" charset="0"/>
            <a:cs typeface="Lucida Sans Unicode" pitchFamily="34" charset="0"/>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3</xdr:col>
      <xdr:colOff>466725</xdr:colOff>
      <xdr:row>10</xdr:row>
      <xdr:rowOff>114300</xdr:rowOff>
    </xdr:from>
    <xdr:to>
      <xdr:col>11</xdr:col>
      <xdr:colOff>133350</xdr:colOff>
      <xdr:row>21</xdr:row>
      <xdr:rowOff>314325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581025</xdr:colOff>
      <xdr:row>34</xdr:row>
      <xdr:rowOff>133350</xdr:rowOff>
    </xdr:from>
    <xdr:to>
      <xdr:col>11</xdr:col>
      <xdr:colOff>276225</xdr:colOff>
      <xdr:row>53</xdr:row>
      <xdr:rowOff>85725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16</xdr:row>
      <xdr:rowOff>95250</xdr:rowOff>
    </xdr:from>
    <xdr:to>
      <xdr:col>6</xdr:col>
      <xdr:colOff>295275</xdr:colOff>
      <xdr:row>33</xdr:row>
      <xdr:rowOff>85725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234438</xdr:colOff>
      <xdr:row>15</xdr:row>
      <xdr:rowOff>108460</xdr:rowOff>
    </xdr:from>
    <xdr:to>
      <xdr:col>12</xdr:col>
      <xdr:colOff>548763</xdr:colOff>
      <xdr:row>33</xdr:row>
      <xdr:rowOff>163153</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38</xdr:row>
      <xdr:rowOff>142875</xdr:rowOff>
    </xdr:from>
    <xdr:to>
      <xdr:col>5</xdr:col>
      <xdr:colOff>171450</xdr:colOff>
      <xdr:row>54</xdr:row>
      <xdr:rowOff>66675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276226</xdr:colOff>
      <xdr:row>38</xdr:row>
      <xdr:rowOff>180975</xdr:rowOff>
    </xdr:from>
    <xdr:to>
      <xdr:col>12</xdr:col>
      <xdr:colOff>561976</xdr:colOff>
      <xdr:row>54</xdr:row>
      <xdr:rowOff>114300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46089</xdr:colOff>
      <xdr:row>16</xdr:row>
      <xdr:rowOff>89412</xdr:rowOff>
    </xdr:from>
    <xdr:to>
      <xdr:col>19</xdr:col>
      <xdr:colOff>274689</xdr:colOff>
      <xdr:row>32</xdr:row>
      <xdr:rowOff>22737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158853</xdr:colOff>
      <xdr:row>17</xdr:row>
      <xdr:rowOff>0</xdr:rowOff>
    </xdr:from>
    <xdr:to>
      <xdr:col>26</xdr:col>
      <xdr:colOff>49775</xdr:colOff>
      <xdr:row>32</xdr:row>
      <xdr:rowOff>95250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11061</xdr:colOff>
      <xdr:row>38</xdr:row>
      <xdr:rowOff>95864</xdr:rowOff>
    </xdr:from>
    <xdr:to>
      <xdr:col>19</xdr:col>
      <xdr:colOff>125361</xdr:colOff>
      <xdr:row>54</xdr:row>
      <xdr:rowOff>40250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202176</xdr:colOff>
      <xdr:row>38</xdr:row>
      <xdr:rowOff>0</xdr:rowOff>
    </xdr:from>
    <xdr:to>
      <xdr:col>25</xdr:col>
      <xdr:colOff>459351</xdr:colOff>
      <xdr:row>54</xdr:row>
      <xdr:rowOff>101702</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26</xdr:col>
      <xdr:colOff>47625</xdr:colOff>
      <xdr:row>17</xdr:row>
      <xdr:rowOff>66059</xdr:rowOff>
    </xdr:from>
    <xdr:to>
      <xdr:col>32</xdr:col>
      <xdr:colOff>352425</xdr:colOff>
      <xdr:row>32</xdr:row>
      <xdr:rowOff>168377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235360</xdr:colOff>
      <xdr:row>16</xdr:row>
      <xdr:rowOff>161003</xdr:rowOff>
    </xdr:from>
    <xdr:to>
      <xdr:col>39</xdr:col>
      <xdr:colOff>16283</xdr:colOff>
      <xdr:row>33</xdr:row>
      <xdr:rowOff>49162</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26</xdr:col>
      <xdr:colOff>45475</xdr:colOff>
      <xdr:row>38</xdr:row>
      <xdr:rowOff>215081</xdr:rowOff>
    </xdr:from>
    <xdr:to>
      <xdr:col>32</xdr:col>
      <xdr:colOff>436000</xdr:colOff>
      <xdr:row>54</xdr:row>
      <xdr:rowOff>152400</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39</xdr:col>
      <xdr:colOff>47011</xdr:colOff>
      <xdr:row>17</xdr:row>
      <xdr:rowOff>46088</xdr:rowOff>
    </xdr:from>
    <xdr:to>
      <xdr:col>46</xdr:col>
      <xdr:colOff>237511</xdr:colOff>
      <xdr:row>36</xdr:row>
      <xdr:rowOff>149328</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46</xdr:col>
      <xdr:colOff>401586</xdr:colOff>
      <xdr:row>17</xdr:row>
      <xdr:rowOff>3687</xdr:rowOff>
    </xdr:from>
    <xdr:to>
      <xdr:col>53</xdr:col>
      <xdr:colOff>363486</xdr:colOff>
      <xdr:row>36</xdr:row>
      <xdr:rowOff>76815</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39</xdr:col>
      <xdr:colOff>176059</xdr:colOff>
      <xdr:row>39</xdr:row>
      <xdr:rowOff>106310</xdr:rowOff>
    </xdr:from>
    <xdr:to>
      <xdr:col>46</xdr:col>
      <xdr:colOff>176059</xdr:colOff>
      <xdr:row>60</xdr:row>
      <xdr:rowOff>68211</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46</xdr:col>
      <xdr:colOff>439687</xdr:colOff>
      <xdr:row>39</xdr:row>
      <xdr:rowOff>143490</xdr:rowOff>
    </xdr:from>
    <xdr:to>
      <xdr:col>53</xdr:col>
      <xdr:colOff>411112</xdr:colOff>
      <xdr:row>60</xdr:row>
      <xdr:rowOff>107542</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32</xdr:col>
      <xdr:colOff>416950</xdr:colOff>
      <xdr:row>38</xdr:row>
      <xdr:rowOff>163153</xdr:rowOff>
    </xdr:from>
    <xdr:to>
      <xdr:col>38</xdr:col>
      <xdr:colOff>506978</xdr:colOff>
      <xdr:row>54</xdr:row>
      <xdr:rowOff>107539</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30</xdr:row>
      <xdr:rowOff>114301</xdr:rowOff>
    </xdr:from>
    <xdr:to>
      <xdr:col>12</xdr:col>
      <xdr:colOff>247894</xdr:colOff>
      <xdr:row>44</xdr:row>
      <xdr:rowOff>76200</xdr:rowOff>
    </xdr:to>
    <xdr:graphicFrame macro="">
      <xdr:nvGraphicFramePr>
        <xdr:cNvPr id="2"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76200</xdr:colOff>
      <xdr:row>3</xdr:row>
      <xdr:rowOff>0</xdr:rowOff>
    </xdr:from>
    <xdr:ext cx="7239000" cy="4543425"/>
    <xdr:sp macro="" textlink="">
      <xdr:nvSpPr>
        <xdr:cNvPr id="3" name="CaixaDeTexto 2"/>
        <xdr:cNvSpPr txBox="1"/>
      </xdr:nvSpPr>
      <xdr:spPr>
        <a:xfrm>
          <a:off x="76200" y="638175"/>
          <a:ext cx="7239000" cy="454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pt-PT" sz="1400">
              <a:solidFill>
                <a:schemeClr val="tx1"/>
              </a:solidFill>
              <a:latin typeface="Lucida Sans" pitchFamily="34" charset="0"/>
              <a:ea typeface="+mn-ea"/>
              <a:cs typeface="+mn-cs"/>
            </a:rPr>
            <a:t>Analisando o quadro, verifica-se que a percentagem de alunos que </a:t>
          </a:r>
          <a:r>
            <a:rPr lang="pt-PT" sz="1400" u="sng">
              <a:solidFill>
                <a:schemeClr val="tx1"/>
              </a:solidFill>
              <a:latin typeface="Lucida Sans" pitchFamily="34" charset="0"/>
              <a:ea typeface="+mn-ea"/>
              <a:cs typeface="+mn-cs"/>
            </a:rPr>
            <a:t>transita com aproveitamento a todas as disciplinas</a:t>
          </a:r>
          <a:r>
            <a:rPr lang="pt-PT" sz="1400">
              <a:solidFill>
                <a:schemeClr val="tx1"/>
              </a:solidFill>
              <a:latin typeface="Lucida Sans" pitchFamily="34" charset="0"/>
              <a:ea typeface="+mn-ea"/>
              <a:cs typeface="+mn-cs"/>
            </a:rPr>
            <a:t> revela-se mais elevada no 5º ano (50, 4%). Tal como no ano anterior, é no 7º ano (31,5%), que menos alunos transitam com aproveitamento a todas as disciplinas. </a:t>
          </a:r>
        </a:p>
        <a:p>
          <a:pPr marL="0" marR="0" indent="0" defTabSz="914400" eaLnBrk="1" fontAlgn="auto" latinLnBrk="0" hangingPunct="1">
            <a:lnSpc>
              <a:spcPct val="100000"/>
            </a:lnSpc>
            <a:spcBef>
              <a:spcPts val="0"/>
            </a:spcBef>
            <a:spcAft>
              <a:spcPts val="0"/>
            </a:spcAft>
            <a:buClrTx/>
            <a:buSzTx/>
            <a:buFontTx/>
            <a:buNone/>
            <a:tabLst/>
            <a:defRPr/>
          </a:pPr>
          <a:endParaRPr lang="pt-PT" sz="1400">
            <a:solidFill>
              <a:schemeClr val="tx1"/>
            </a:solidFill>
            <a:latin typeface="Lucida Sans"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PT" sz="1400">
              <a:solidFill>
                <a:schemeClr val="tx1"/>
              </a:solidFill>
              <a:latin typeface="Lucida Sans" pitchFamily="34" charset="0"/>
              <a:ea typeface="+mn-ea"/>
              <a:cs typeface="+mn-cs"/>
            </a:rPr>
            <a:t>A percentagem de alunos que </a:t>
          </a:r>
          <a:r>
            <a:rPr lang="pt-PT" sz="1400" u="sng">
              <a:solidFill>
                <a:schemeClr val="tx1"/>
              </a:solidFill>
              <a:latin typeface="Lucida Sans" pitchFamily="34" charset="0"/>
              <a:ea typeface="+mn-ea"/>
              <a:cs typeface="+mn-cs"/>
            </a:rPr>
            <a:t>transita sem aproveitamento a uma disciplina</a:t>
          </a:r>
          <a:r>
            <a:rPr lang="pt-PT" sz="1400">
              <a:solidFill>
                <a:schemeClr val="tx1"/>
              </a:solidFill>
              <a:latin typeface="Lucida Sans" pitchFamily="34" charset="0"/>
              <a:ea typeface="+mn-ea"/>
              <a:cs typeface="+mn-cs"/>
            </a:rPr>
            <a:t>, é superior no 8º ano (26,7%). No ano anterior, a percentagem mais elevada registou-se no 6ºano.</a:t>
          </a:r>
        </a:p>
        <a:p>
          <a:pPr marL="0" marR="0" indent="0" defTabSz="914400" eaLnBrk="1" fontAlgn="auto" latinLnBrk="0" hangingPunct="1">
            <a:lnSpc>
              <a:spcPct val="100000"/>
            </a:lnSpc>
            <a:spcBef>
              <a:spcPts val="0"/>
            </a:spcBef>
            <a:spcAft>
              <a:spcPts val="0"/>
            </a:spcAft>
            <a:buClrTx/>
            <a:buSzTx/>
            <a:buFontTx/>
            <a:buNone/>
            <a:tabLst/>
            <a:defRPr/>
          </a:pPr>
          <a:endParaRPr lang="pt-PT" sz="1400">
            <a:solidFill>
              <a:schemeClr val="tx1"/>
            </a:solidFill>
            <a:latin typeface="Lucida Sans"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PT" sz="1400">
              <a:solidFill>
                <a:schemeClr val="tx1"/>
              </a:solidFill>
              <a:latin typeface="Lucida Sans" pitchFamily="34" charset="0"/>
              <a:ea typeface="+mn-ea"/>
              <a:cs typeface="+mn-cs"/>
            </a:rPr>
            <a:t>A percentagem de alunos que </a:t>
          </a:r>
          <a:r>
            <a:rPr lang="pt-PT" sz="1400" u="sng">
              <a:solidFill>
                <a:schemeClr val="tx1"/>
              </a:solidFill>
              <a:latin typeface="Lucida Sans" pitchFamily="34" charset="0"/>
              <a:ea typeface="+mn-ea"/>
              <a:cs typeface="+mn-cs"/>
            </a:rPr>
            <a:t>transita sem aproveitamento a duas disciplinas</a:t>
          </a:r>
          <a:r>
            <a:rPr lang="pt-PT" sz="1400">
              <a:solidFill>
                <a:schemeClr val="tx1"/>
              </a:solidFill>
              <a:latin typeface="Lucida Sans" pitchFamily="34" charset="0"/>
              <a:ea typeface="+mn-ea"/>
              <a:cs typeface="+mn-cs"/>
            </a:rPr>
            <a:t>, revela-se mais elevada no 5º ano (20,3%), tal como no ano anterior. </a:t>
          </a:r>
        </a:p>
        <a:p>
          <a:pPr marL="0" marR="0" indent="0" defTabSz="914400" eaLnBrk="1" fontAlgn="auto" latinLnBrk="0" hangingPunct="1">
            <a:lnSpc>
              <a:spcPct val="100000"/>
            </a:lnSpc>
            <a:spcBef>
              <a:spcPts val="0"/>
            </a:spcBef>
            <a:spcAft>
              <a:spcPts val="0"/>
            </a:spcAft>
            <a:buClrTx/>
            <a:buSzTx/>
            <a:buFontTx/>
            <a:buNone/>
            <a:tabLst/>
            <a:defRPr/>
          </a:pPr>
          <a:endParaRPr lang="pt-PT" sz="1400">
            <a:solidFill>
              <a:schemeClr val="tx1"/>
            </a:solidFill>
            <a:latin typeface="Lucida Sans"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PT" sz="1400">
              <a:solidFill>
                <a:schemeClr val="tx1"/>
              </a:solidFill>
              <a:latin typeface="Lucida Sans" pitchFamily="34" charset="0"/>
              <a:ea typeface="+mn-ea"/>
              <a:cs typeface="+mn-cs"/>
            </a:rPr>
            <a:t>A percentagem de alunos que </a:t>
          </a:r>
          <a:r>
            <a:rPr lang="pt-PT" sz="1400" u="sng">
              <a:solidFill>
                <a:schemeClr val="tx1"/>
              </a:solidFill>
              <a:latin typeface="Lucida Sans" pitchFamily="34" charset="0"/>
              <a:ea typeface="+mn-ea"/>
              <a:cs typeface="+mn-cs"/>
            </a:rPr>
            <a:t>transita sem aproveitamento a três disciplinas</a:t>
          </a:r>
          <a:r>
            <a:rPr lang="pt-PT" sz="1400">
              <a:solidFill>
                <a:schemeClr val="tx1"/>
              </a:solidFill>
              <a:latin typeface="Lucida Sans" pitchFamily="34" charset="0"/>
              <a:ea typeface="+mn-ea"/>
              <a:cs typeface="+mn-cs"/>
            </a:rPr>
            <a:t>, revela-se mais elevada no 7º ano (6,8%). No ano anterior, a percentagem mais elevada registou-se no 8ºano. </a:t>
          </a:r>
        </a:p>
        <a:p>
          <a:pPr marL="0" marR="0" indent="0" defTabSz="914400" eaLnBrk="1" fontAlgn="auto" latinLnBrk="0" hangingPunct="1">
            <a:lnSpc>
              <a:spcPct val="100000"/>
            </a:lnSpc>
            <a:spcBef>
              <a:spcPts val="0"/>
            </a:spcBef>
            <a:spcAft>
              <a:spcPts val="0"/>
            </a:spcAft>
            <a:buClrTx/>
            <a:buSzTx/>
            <a:buFontTx/>
            <a:buNone/>
            <a:tabLst/>
            <a:defRPr/>
          </a:pPr>
          <a:endParaRPr lang="pt-PT" sz="1400">
            <a:solidFill>
              <a:schemeClr val="tx1"/>
            </a:solidFill>
            <a:latin typeface="Lucida Sans"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PT" sz="1400">
              <a:solidFill>
                <a:schemeClr val="tx1"/>
              </a:solidFill>
              <a:latin typeface="Lucida Sans" pitchFamily="34" charset="0"/>
              <a:ea typeface="+mn-ea"/>
              <a:cs typeface="+mn-cs"/>
            </a:rPr>
            <a:t>A percentagem de alunos que </a:t>
          </a:r>
          <a:r>
            <a:rPr lang="pt-PT" sz="1400" u="sng">
              <a:solidFill>
                <a:schemeClr val="tx1"/>
              </a:solidFill>
              <a:latin typeface="Lucida Sans" pitchFamily="34" charset="0"/>
              <a:ea typeface="+mn-ea"/>
              <a:cs typeface="+mn-cs"/>
            </a:rPr>
            <a:t>transita sem aproveitamento a mais de três disciplinas</a:t>
          </a:r>
          <a:r>
            <a:rPr lang="pt-PT" sz="1400">
              <a:solidFill>
                <a:schemeClr val="tx1"/>
              </a:solidFill>
              <a:latin typeface="Lucida Sans" pitchFamily="34" charset="0"/>
              <a:ea typeface="+mn-ea"/>
              <a:cs typeface="+mn-cs"/>
            </a:rPr>
            <a:t>, revela-se mais elevada no 6º ano (7,9%). No ano anterior, a percentagem mais elevada registou-se no 5ºano.</a:t>
          </a:r>
        </a:p>
        <a:p>
          <a:endParaRPr lang="pt-PT" sz="1400">
            <a:latin typeface="Lucida Sans" pitchFamily="34" charset="0"/>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12700</xdr:colOff>
      <xdr:row>9</xdr:row>
      <xdr:rowOff>136525</xdr:rowOff>
    </xdr:from>
    <xdr:to>
      <xdr:col>4</xdr:col>
      <xdr:colOff>571500</xdr:colOff>
      <xdr:row>24</xdr:row>
      <xdr:rowOff>38100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133351</xdr:rowOff>
    </xdr:from>
    <xdr:to>
      <xdr:col>4</xdr:col>
      <xdr:colOff>549274</xdr:colOff>
      <xdr:row>55</xdr:row>
      <xdr:rowOff>123825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761999</xdr:colOff>
      <xdr:row>9</xdr:row>
      <xdr:rowOff>66675</xdr:rowOff>
    </xdr:from>
    <xdr:to>
      <xdr:col>8</xdr:col>
      <xdr:colOff>809625</xdr:colOff>
      <xdr:row>24</xdr:row>
      <xdr:rowOff>41275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504825</xdr:colOff>
      <xdr:row>36</xdr:row>
      <xdr:rowOff>111125</xdr:rowOff>
    </xdr:from>
    <xdr:to>
      <xdr:col>8</xdr:col>
      <xdr:colOff>781051</xdr:colOff>
      <xdr:row>55</xdr:row>
      <xdr:rowOff>85725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161925</xdr:colOff>
      <xdr:row>14</xdr:row>
      <xdr:rowOff>152400</xdr:rowOff>
    </xdr:from>
    <xdr:to>
      <xdr:col>10</xdr:col>
      <xdr:colOff>171450</xdr:colOff>
      <xdr:row>31</xdr:row>
      <xdr:rowOff>142875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xdr:colOff>
      <xdr:row>53</xdr:row>
      <xdr:rowOff>9525</xdr:rowOff>
    </xdr:from>
    <xdr:to>
      <xdr:col>10</xdr:col>
      <xdr:colOff>104775</xdr:colOff>
      <xdr:row>70</xdr:row>
      <xdr:rowOff>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152400</xdr:colOff>
      <xdr:row>33</xdr:row>
      <xdr:rowOff>142875</xdr:rowOff>
    </xdr:from>
    <xdr:to>
      <xdr:col>10</xdr:col>
      <xdr:colOff>161925</xdr:colOff>
      <xdr:row>50</xdr:row>
      <xdr:rowOff>133350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14654</xdr:colOff>
      <xdr:row>23</xdr:row>
      <xdr:rowOff>57151</xdr:rowOff>
    </xdr:from>
    <xdr:to>
      <xdr:col>11</xdr:col>
      <xdr:colOff>442057</xdr:colOff>
      <xdr:row>42</xdr:row>
      <xdr:rowOff>51533</xdr:rowOff>
    </xdr:to>
    <xdr:graphicFrame macro="">
      <xdr:nvGraphicFramePr>
        <xdr:cNvPr id="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57150</xdr:colOff>
      <xdr:row>1</xdr:row>
      <xdr:rowOff>190499</xdr:rowOff>
    </xdr:from>
    <xdr:ext cx="8191500" cy="1781175"/>
    <xdr:sp macro="" textlink="">
      <xdr:nvSpPr>
        <xdr:cNvPr id="3" name="CaixaDeTexto 2"/>
        <xdr:cNvSpPr txBox="1"/>
      </xdr:nvSpPr>
      <xdr:spPr>
        <a:xfrm>
          <a:off x="57150" y="428624"/>
          <a:ext cx="8191500" cy="1781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solidFill>
                <a:schemeClr val="tx1"/>
              </a:solidFill>
              <a:latin typeface="Lucida Sans Unicode" pitchFamily="34" charset="0"/>
              <a:ea typeface="+mn-ea"/>
              <a:cs typeface="Lucida Sans Unicode" pitchFamily="34" charset="0"/>
            </a:rPr>
            <a:t>Analisando o quadro da progressão dos alunos sem</a:t>
          </a:r>
          <a:r>
            <a:rPr lang="pt-PT" sz="1400" baseline="0">
              <a:solidFill>
                <a:schemeClr val="tx1"/>
              </a:solidFill>
              <a:latin typeface="Lucida Sans Unicode" pitchFamily="34" charset="0"/>
              <a:ea typeface="+mn-ea"/>
              <a:cs typeface="Lucida Sans Unicode" pitchFamily="34" charset="0"/>
            </a:rPr>
            <a:t> aproveitamento apenas a Língua Portuguesa ou apenas a Matemática ou ambas,</a:t>
          </a:r>
          <a:r>
            <a:rPr lang="pt-PT" sz="1400">
              <a:solidFill>
                <a:schemeClr val="tx1"/>
              </a:solidFill>
              <a:latin typeface="Lucida Sans Unicode" pitchFamily="34" charset="0"/>
              <a:ea typeface="+mn-ea"/>
              <a:cs typeface="Lucida Sans Unicode" pitchFamily="34" charset="0"/>
            </a:rPr>
            <a:t> destaca-se que a percentagem mais elevada, desta progressão, se verifica no 8º ano sem o</a:t>
          </a:r>
          <a:r>
            <a:rPr lang="pt-PT" sz="1400" baseline="0">
              <a:solidFill>
                <a:schemeClr val="tx1"/>
              </a:solidFill>
              <a:latin typeface="Lucida Sans Unicode" pitchFamily="34" charset="0"/>
              <a:ea typeface="+mn-ea"/>
              <a:cs typeface="Lucida Sans Unicode" pitchFamily="34" charset="0"/>
            </a:rPr>
            <a:t> aproveitamento a</a:t>
          </a:r>
          <a:r>
            <a:rPr lang="pt-PT" sz="1400">
              <a:solidFill>
                <a:schemeClr val="tx1"/>
              </a:solidFill>
              <a:latin typeface="Lucida Sans Unicode" pitchFamily="34" charset="0"/>
              <a:ea typeface="+mn-ea"/>
              <a:cs typeface="Lucida Sans Unicode" pitchFamily="34" charset="0"/>
            </a:rPr>
            <a:t> Língua Portuguesa. Em relação à Matemática, os maiores indícios de progressão sem aproveitamento reportam-se ao 6ºano.</a:t>
          </a:r>
          <a:endParaRPr lang="pt-PT" sz="1400">
            <a:latin typeface="Lucida Sans Unicode" pitchFamily="34" charset="0"/>
            <a:cs typeface="Lucida Sans Unicode"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25</xdr:col>
      <xdr:colOff>151040</xdr:colOff>
      <xdr:row>12</xdr:row>
      <xdr:rowOff>174625</xdr:rowOff>
    </xdr:from>
    <xdr:to>
      <xdr:col>37</xdr:col>
      <xdr:colOff>552450</xdr:colOff>
      <xdr:row>20</xdr:row>
      <xdr:rowOff>152400</xdr:rowOff>
    </xdr:to>
    <xdr:graphicFrame macro="">
      <xdr:nvGraphicFramePr>
        <xdr:cNvPr id="206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83004</xdr:colOff>
      <xdr:row>31</xdr:row>
      <xdr:rowOff>104776</xdr:rowOff>
    </xdr:from>
    <xdr:to>
      <xdr:col>48</xdr:col>
      <xdr:colOff>542925</xdr:colOff>
      <xdr:row>37</xdr:row>
      <xdr:rowOff>161925</xdr:rowOff>
    </xdr:to>
    <xdr:graphicFrame macro="">
      <xdr:nvGraphicFramePr>
        <xdr:cNvPr id="206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82550</xdr:colOff>
      <xdr:row>28</xdr:row>
      <xdr:rowOff>28574</xdr:rowOff>
    </xdr:from>
    <xdr:to>
      <xdr:col>11</xdr:col>
      <xdr:colOff>768350</xdr:colOff>
      <xdr:row>35</xdr:row>
      <xdr:rowOff>66674</xdr:rowOff>
    </xdr:to>
    <xdr:graphicFrame macro="">
      <xdr:nvGraphicFramePr>
        <xdr:cNvPr id="207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88900</xdr:colOff>
      <xdr:row>20</xdr:row>
      <xdr:rowOff>293915</xdr:rowOff>
    </xdr:from>
    <xdr:to>
      <xdr:col>11</xdr:col>
      <xdr:colOff>793750</xdr:colOff>
      <xdr:row>27</xdr:row>
      <xdr:rowOff>238124</xdr:rowOff>
    </xdr:to>
    <xdr:graphicFrame macro="">
      <xdr:nvGraphicFramePr>
        <xdr:cNvPr id="207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0</xdr:colOff>
      <xdr:row>2</xdr:row>
      <xdr:rowOff>76200</xdr:rowOff>
    </xdr:from>
    <xdr:ext cx="8237113" cy="1060451"/>
    <xdr:sp macro="" textlink="">
      <xdr:nvSpPr>
        <xdr:cNvPr id="12" name="CaixaDeTexto 11"/>
        <xdr:cNvSpPr txBox="1"/>
      </xdr:nvSpPr>
      <xdr:spPr>
        <a:xfrm>
          <a:off x="0" y="478665"/>
          <a:ext cx="8237113" cy="1060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solidFill>
                <a:schemeClr val="tx1"/>
              </a:solidFill>
              <a:latin typeface="Lucida Sans Unicode" pitchFamily="34" charset="0"/>
              <a:ea typeface="+mn-ea"/>
              <a:cs typeface="Lucida Sans Unicode" pitchFamily="34" charset="0"/>
            </a:rPr>
            <a:t>Analisando o quadro referente ao aproveitamento por ano e disciplina do 2º ciclo, verifica-se que o aproveitamento é sempre superior a 60%, sendo a Matemática</a:t>
          </a:r>
          <a:r>
            <a:rPr lang="pt-PT" sz="1400" baseline="0">
              <a:solidFill>
                <a:schemeClr val="tx1"/>
              </a:solidFill>
              <a:latin typeface="Lucida Sans Unicode" pitchFamily="34" charset="0"/>
              <a:ea typeface="+mn-ea"/>
              <a:cs typeface="Lucida Sans Unicode" pitchFamily="34" charset="0"/>
            </a:rPr>
            <a:t> </a:t>
          </a:r>
          <a:r>
            <a:rPr lang="pt-PT" sz="1400">
              <a:solidFill>
                <a:schemeClr val="tx1"/>
              </a:solidFill>
              <a:latin typeface="Lucida Sans Unicode" pitchFamily="34" charset="0"/>
              <a:ea typeface="+mn-ea"/>
              <a:cs typeface="Lucida Sans Unicode" pitchFamily="34" charset="0"/>
            </a:rPr>
            <a:t>a disciplina onde o aproveitamento é mais baixo, com 63,7%.</a:t>
          </a:r>
          <a:endParaRPr lang="pt-PT" sz="1400">
            <a:latin typeface="Lucida Sans Unicode" pitchFamily="34" charset="0"/>
            <a:cs typeface="Lucida Sans Unicode" pitchFamily="34" charset="0"/>
          </a:endParaRPr>
        </a:p>
      </xdr:txBody>
    </xdr:sp>
    <xdr:clientData/>
  </xdr:oneCellAnchor>
  <xdr:oneCellAnchor>
    <xdr:from>
      <xdr:col>12</xdr:col>
      <xdr:colOff>0</xdr:colOff>
      <xdr:row>2</xdr:row>
      <xdr:rowOff>28574</xdr:rowOff>
    </xdr:from>
    <xdr:ext cx="8102600" cy="2085976"/>
    <xdr:sp macro="" textlink="">
      <xdr:nvSpPr>
        <xdr:cNvPr id="13" name="CaixaDeTexto 12"/>
        <xdr:cNvSpPr txBox="1"/>
      </xdr:nvSpPr>
      <xdr:spPr>
        <a:xfrm>
          <a:off x="8239125" y="428624"/>
          <a:ext cx="8102600" cy="2085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pt-PT" sz="1400">
              <a:solidFill>
                <a:sysClr val="windowText" lastClr="000000"/>
              </a:solidFill>
              <a:latin typeface="Lucida Sans Unicode" pitchFamily="34" charset="0"/>
              <a:ea typeface="+mn-ea"/>
              <a:cs typeface="Lucida Sans Unicode" pitchFamily="34" charset="0"/>
            </a:rPr>
            <a:t>Quanto ao aproveitamento por ano e disciplina no 3º ciclo, verifica-se que o aproveitamento é sempre superior a 65%, sendo</a:t>
          </a:r>
          <a:r>
            <a:rPr lang="pt-PT" sz="1400" baseline="0">
              <a:solidFill>
                <a:sysClr val="windowText" lastClr="000000"/>
              </a:solidFill>
              <a:latin typeface="Lucida Sans Unicode" pitchFamily="34" charset="0"/>
              <a:ea typeface="+mn-ea"/>
              <a:cs typeface="Lucida Sans Unicode" pitchFamily="34" charset="0"/>
            </a:rPr>
            <a:t> Língua Portuguesa a disciplina com o aproveitamento inferior (65,5%).</a:t>
          </a:r>
        </a:p>
        <a:p>
          <a:pPr marL="0" marR="0" indent="0" defTabSz="914400" eaLnBrk="1" fontAlgn="auto" latinLnBrk="0" hangingPunct="1">
            <a:lnSpc>
              <a:spcPct val="100000"/>
            </a:lnSpc>
            <a:spcBef>
              <a:spcPts val="0"/>
            </a:spcBef>
            <a:spcAft>
              <a:spcPts val="0"/>
            </a:spcAft>
            <a:buClrTx/>
            <a:buSzTx/>
            <a:buFontTx/>
            <a:buNone/>
            <a:tabLst/>
            <a:defRPr/>
          </a:pPr>
          <a:r>
            <a:rPr lang="pt-PT" sz="1400">
              <a:solidFill>
                <a:sysClr val="windowText" lastClr="000000"/>
              </a:solidFill>
              <a:latin typeface="Lucida Sans Unicode" pitchFamily="34" charset="0"/>
              <a:ea typeface="+mn-ea"/>
              <a:cs typeface="Lucida Sans Unicode" pitchFamily="34" charset="0"/>
            </a:rPr>
            <a:t>A disciplina onde o aproveitamento é mais baixo no 7º ano é Inglês (56,79%), no 8º ano é Língua Portuguesa (48,33%) e no 9º ano é Francês (65,63%).</a:t>
          </a:r>
          <a:endParaRPr lang="pt-PT" sz="1400">
            <a:solidFill>
              <a:sysClr val="windowText" lastClr="000000"/>
            </a:solidFill>
            <a:latin typeface="Lucida Sans Unicode" pitchFamily="34" charset="0"/>
            <a:cs typeface="Lucida Sans Unicode" pitchFamily="34" charset="0"/>
          </a:endParaRPr>
        </a:p>
      </xdr:txBody>
    </xdr:sp>
    <xdr:clientData/>
  </xdr:oneCellAnchor>
  <xdr:twoCellAnchor>
    <xdr:from>
      <xdr:col>12</xdr:col>
      <xdr:colOff>107951</xdr:colOff>
      <xdr:row>25</xdr:row>
      <xdr:rowOff>9525</xdr:rowOff>
    </xdr:from>
    <xdr:to>
      <xdr:col>23</xdr:col>
      <xdr:colOff>419101</xdr:colOff>
      <xdr:row>29</xdr:row>
      <xdr:rowOff>292100</xdr:rowOff>
    </xdr:to>
    <xdr:graphicFrame macro="">
      <xdr:nvGraphicFramePr>
        <xdr:cNvPr id="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28575</xdr:colOff>
      <xdr:row>29</xdr:row>
      <xdr:rowOff>238126</xdr:rowOff>
    </xdr:from>
    <xdr:to>
      <xdr:col>23</xdr:col>
      <xdr:colOff>561975</xdr:colOff>
      <xdr:row>37</xdr:row>
      <xdr:rowOff>200025</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38</xdr:col>
      <xdr:colOff>171450</xdr:colOff>
      <xdr:row>2</xdr:row>
      <xdr:rowOff>285750</xdr:rowOff>
    </xdr:from>
    <xdr:ext cx="7962900" cy="1295400"/>
    <xdr:sp macro="" textlink="">
      <xdr:nvSpPr>
        <xdr:cNvPr id="19" name="CaixaDeTexto 18"/>
        <xdr:cNvSpPr txBox="1"/>
      </xdr:nvSpPr>
      <xdr:spPr>
        <a:xfrm>
          <a:off x="25346025" y="685800"/>
          <a:ext cx="7962900" cy="1295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latin typeface="Lucida Sans Unicode" pitchFamily="34" charset="0"/>
              <a:cs typeface="Lucida Sans Unicode" pitchFamily="34" charset="0"/>
            </a:rPr>
            <a:t>Relativamente ao aproveitamento por ano e disciplina nos CEF's, pode dizer-se que </a:t>
          </a:r>
          <a:r>
            <a:rPr lang="pt-PT" sz="1400" baseline="0">
              <a:latin typeface="Lucida Sans Unicode" pitchFamily="34" charset="0"/>
              <a:cs typeface="Lucida Sans Unicode" pitchFamily="34" charset="0"/>
            </a:rPr>
            <a:t>na maioria das disciplinas é superior a 78%, sendo apenas de registar as disciplinas de Matemática Aplicada e Ciências Fisico-Químicas como aquelas onde as percentagens foram muito inferiores a este valor.</a:t>
          </a:r>
          <a:endParaRPr lang="pt-PT" sz="1400">
            <a:latin typeface="Lucida Sans Unicode" pitchFamily="34" charset="0"/>
            <a:cs typeface="Lucida Sans Unicode" pitchFamily="34" charset="0"/>
          </a:endParaRPr>
        </a:p>
      </xdr:txBody>
    </xdr:sp>
    <xdr:clientData/>
  </xdr:oneCellAnchor>
  <xdr:twoCellAnchor>
    <xdr:from>
      <xdr:col>38</xdr:col>
      <xdr:colOff>152400</xdr:colOff>
      <xdr:row>16</xdr:row>
      <xdr:rowOff>114300</xdr:rowOff>
    </xdr:from>
    <xdr:to>
      <xdr:col>49</xdr:col>
      <xdr:colOff>409575</xdr:colOff>
      <xdr:row>21</xdr:row>
      <xdr:rowOff>323850</xdr:rowOff>
    </xdr:to>
    <xdr:graphicFrame macro="">
      <xdr:nvGraphicFramePr>
        <xdr:cNvPr id="2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18</xdr:row>
      <xdr:rowOff>266700</xdr:rowOff>
    </xdr:from>
    <xdr:to>
      <xdr:col>10</xdr:col>
      <xdr:colOff>133350</xdr:colOff>
      <xdr:row>26</xdr:row>
      <xdr:rowOff>95251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123825</xdr:rowOff>
    </xdr:from>
    <xdr:to>
      <xdr:col>10</xdr:col>
      <xdr:colOff>523874</xdr:colOff>
      <xdr:row>8</xdr:row>
      <xdr:rowOff>104775</xdr:rowOff>
    </xdr:to>
    <xdr:sp macro="" textlink="">
      <xdr:nvSpPr>
        <xdr:cNvPr id="3" name="CaixaDeTexto 2"/>
        <xdr:cNvSpPr txBox="1"/>
      </xdr:nvSpPr>
      <xdr:spPr>
        <a:xfrm>
          <a:off x="47625" y="676275"/>
          <a:ext cx="8191499" cy="190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pt-PT" sz="1400">
              <a:latin typeface="Lucida Sans Unicode" pitchFamily="34" charset="0"/>
              <a:cs typeface="Lucida Sans Unicode" pitchFamily="34" charset="0"/>
            </a:rPr>
            <a:t>A média das notas  por disciplina no 5º ano varia entre os 3,08 a Lígua Portuguesa e os 3,41 a Educação Musical. No</a:t>
          </a:r>
          <a:r>
            <a:rPr lang="pt-PT" sz="1400" baseline="0">
              <a:latin typeface="Lucida Sans Unicode" pitchFamily="34" charset="0"/>
              <a:cs typeface="Lucida Sans Unicode" pitchFamily="34" charset="0"/>
            </a:rPr>
            <a:t> 6º ano varia entre os 2,87 a Matemática e os 3,42 a EVT.</a:t>
          </a:r>
        </a:p>
        <a:p>
          <a:pPr algn="just"/>
          <a:r>
            <a:rPr lang="pt-PT" sz="1400" baseline="0">
              <a:latin typeface="Lucida Sans Unicode" pitchFamily="34" charset="0"/>
              <a:cs typeface="Lucida Sans Unicode" pitchFamily="34" charset="0"/>
            </a:rPr>
            <a:t>A média das notas por disciplina por ciclo varia entre 3,06 a Matemática e os 3,36 a EVT.</a:t>
          </a:r>
        </a:p>
        <a:p>
          <a:pPr algn="just"/>
          <a:endParaRPr lang="pt-PT" sz="1400" baseline="0">
            <a:latin typeface="Lucida Sans Unicode" pitchFamily="34" charset="0"/>
            <a:cs typeface="Lucida Sans Unicode" pitchFamily="34" charset="0"/>
          </a:endParaRPr>
        </a:p>
        <a:p>
          <a:pPr algn="just"/>
          <a:r>
            <a:rPr lang="pt-PT" sz="1400" baseline="0">
              <a:latin typeface="Lucida Sans Unicode" pitchFamily="34" charset="0"/>
              <a:cs typeface="Lucida Sans Unicode" pitchFamily="34" charset="0"/>
            </a:rPr>
            <a:t>Não consideramos a disciplina de EMRC pelo facto da amostra do estudo estatístico ser diferente da existente nas restantes disciplinas e de não ser uma disciplina obrigatória.</a:t>
          </a:r>
          <a:endParaRPr lang="pt-PT" sz="1400">
            <a:latin typeface="Lucida Sans Unicode" pitchFamily="34" charset="0"/>
            <a:cs typeface="Lucida Sans Unicode" pitchFamily="34" charset="0"/>
          </a:endParaRPr>
        </a:p>
      </xdr:txBody>
    </xdr:sp>
    <xdr:clientData/>
  </xdr:twoCellAnchor>
  <xdr:twoCellAnchor>
    <xdr:from>
      <xdr:col>0</xdr:col>
      <xdr:colOff>180976</xdr:colOff>
      <xdr:row>27</xdr:row>
      <xdr:rowOff>47625</xdr:rowOff>
    </xdr:from>
    <xdr:to>
      <xdr:col>9</xdr:col>
      <xdr:colOff>714375</xdr:colOff>
      <xdr:row>38</xdr:row>
      <xdr:rowOff>123825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581026</xdr:colOff>
      <xdr:row>27</xdr:row>
      <xdr:rowOff>200025</xdr:rowOff>
    </xdr:from>
    <xdr:to>
      <xdr:col>9</xdr:col>
      <xdr:colOff>1</xdr:colOff>
      <xdr:row>41</xdr:row>
      <xdr:rowOff>95250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225426</xdr:colOff>
      <xdr:row>60</xdr:row>
      <xdr:rowOff>76201</xdr:rowOff>
    </xdr:from>
    <xdr:to>
      <xdr:col>9</xdr:col>
      <xdr:colOff>514350</xdr:colOff>
      <xdr:row>75</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323849</xdr:colOff>
      <xdr:row>89</xdr:row>
      <xdr:rowOff>47624</xdr:rowOff>
    </xdr:from>
    <xdr:to>
      <xdr:col>9</xdr:col>
      <xdr:colOff>625474</xdr:colOff>
      <xdr:row>105</xdr:row>
      <xdr:rowOff>161924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95250</xdr:colOff>
      <xdr:row>1</xdr:row>
      <xdr:rowOff>142875</xdr:rowOff>
    </xdr:from>
    <xdr:to>
      <xdr:col>10</xdr:col>
      <xdr:colOff>463550</xdr:colOff>
      <xdr:row>15</xdr:row>
      <xdr:rowOff>41275</xdr:rowOff>
    </xdr:to>
    <xdr:sp macro="" textlink="">
      <xdr:nvSpPr>
        <xdr:cNvPr id="6" name="CaixaDeTexto 5"/>
        <xdr:cNvSpPr txBox="1"/>
      </xdr:nvSpPr>
      <xdr:spPr>
        <a:xfrm>
          <a:off x="95250" y="352425"/>
          <a:ext cx="8026400" cy="3451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pt-PT" sz="1400" i="0">
              <a:solidFill>
                <a:schemeClr val="dk1"/>
              </a:solidFill>
              <a:latin typeface="Lucida Sans Unicode" pitchFamily="34" charset="0"/>
              <a:ea typeface="+mn-ea"/>
              <a:cs typeface="Lucida Sans Unicode" pitchFamily="34" charset="0"/>
            </a:rPr>
            <a:t>A média das notas  por disciplina no 7º ano varia entre os 2,72 a Geografia e os 3,55 a Educação</a:t>
          </a:r>
          <a:r>
            <a:rPr lang="pt-PT" sz="1400" i="0" baseline="0">
              <a:solidFill>
                <a:schemeClr val="dk1"/>
              </a:solidFill>
              <a:latin typeface="Lucida Sans Unicode" pitchFamily="34" charset="0"/>
              <a:ea typeface="+mn-ea"/>
              <a:cs typeface="Lucida Sans Unicode" pitchFamily="34" charset="0"/>
            </a:rPr>
            <a:t> Fisica</a:t>
          </a:r>
          <a:r>
            <a:rPr lang="pt-PT" sz="1400" i="0">
              <a:solidFill>
                <a:schemeClr val="dk1"/>
              </a:solidFill>
              <a:latin typeface="Lucida Sans Unicode" pitchFamily="34" charset="0"/>
              <a:ea typeface="+mn-ea"/>
              <a:cs typeface="Lucida Sans Unicode" pitchFamily="34" charset="0"/>
            </a:rPr>
            <a:t>. No</a:t>
          </a:r>
          <a:r>
            <a:rPr lang="pt-PT" sz="1400" i="0" baseline="0">
              <a:solidFill>
                <a:schemeClr val="dk1"/>
              </a:solidFill>
              <a:latin typeface="Lucida Sans Unicode" pitchFamily="34" charset="0"/>
              <a:ea typeface="+mn-ea"/>
              <a:cs typeface="Lucida Sans Unicode" pitchFamily="34" charset="0"/>
            </a:rPr>
            <a:t> 8º ano varia entre os 2,68 a Língua Portuguesa e os 3,63 a Educação Física. No 9º ano entre os 2,80 a Francês e os 3,97 a Educação Técnológica.</a:t>
          </a:r>
          <a:endParaRPr lang="pt-PT" sz="1400" i="0">
            <a:latin typeface="Lucida Sans Unicode" pitchFamily="34" charset="0"/>
            <a:cs typeface="Lucida Sans Unicode"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endParaRPr lang="pt-PT" sz="1400" i="0" baseline="0">
            <a:solidFill>
              <a:schemeClr val="dk1"/>
            </a:solidFill>
            <a:latin typeface="Lucida Sans Unicode" pitchFamily="34" charset="0"/>
            <a:ea typeface="+mn-ea"/>
            <a:cs typeface="Lucida Sans Unicode"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r>
            <a:rPr lang="pt-PT" sz="1400" i="0" baseline="0">
              <a:solidFill>
                <a:schemeClr val="dk1"/>
              </a:solidFill>
              <a:latin typeface="Lucida Sans Unicode" pitchFamily="34" charset="0"/>
              <a:ea typeface="+mn-ea"/>
              <a:cs typeface="Lucida Sans Unicode" pitchFamily="34" charset="0"/>
            </a:rPr>
            <a:t>Não consideramos a disciplina de EMRC pelo facto da amostra do estudo estatístico ser diferente da existente nas restantes disciplinas e de não ser uma disciplina  com carácter obrigatório.</a:t>
          </a:r>
          <a:endParaRPr lang="pt-PT" sz="1400" i="0">
            <a:solidFill>
              <a:schemeClr val="dk1"/>
            </a:solidFill>
            <a:latin typeface="Lucida Sans Unicode" pitchFamily="34" charset="0"/>
            <a:ea typeface="+mn-ea"/>
            <a:cs typeface="Lucida Sans Unicode" pitchFamily="34" charset="0"/>
          </a:endParaRPr>
        </a:p>
        <a:p>
          <a:endParaRPr lang="pt-PT" sz="1400" i="0">
            <a:latin typeface="Lucida Sans Unicode" pitchFamily="34" charset="0"/>
            <a:cs typeface="Lucida Sans Unicode"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209550</xdr:colOff>
      <xdr:row>24</xdr:row>
      <xdr:rowOff>155576</xdr:rowOff>
    </xdr:from>
    <xdr:to>
      <xdr:col>10</xdr:col>
      <xdr:colOff>419100</xdr:colOff>
      <xdr:row>41</xdr:row>
      <xdr:rowOff>111125</xdr:rowOff>
    </xdr:to>
    <xdr:graphicFrame macro="">
      <xdr:nvGraphicFramePr>
        <xdr:cNvPr id="51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19050</xdr:colOff>
      <xdr:row>1</xdr:row>
      <xdr:rowOff>104775</xdr:rowOff>
    </xdr:from>
    <xdr:ext cx="8029574" cy="1390650"/>
    <xdr:sp macro="" textlink="">
      <xdr:nvSpPr>
        <xdr:cNvPr id="4" name="CaixaDeTexto 3"/>
        <xdr:cNvSpPr txBox="1"/>
      </xdr:nvSpPr>
      <xdr:spPr>
        <a:xfrm>
          <a:off x="19050" y="304800"/>
          <a:ext cx="8029574" cy="139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pt-PT" sz="1400">
              <a:latin typeface="Lucida Sans Unicode" pitchFamily="34" charset="0"/>
              <a:cs typeface="Lucida Sans Unicode" pitchFamily="34" charset="0"/>
            </a:rPr>
            <a:t>Da análise do quadro, verifica-se que nas áreas curriculares não disciplinares de Estudo Acompanhado e de Área de Projecto, é no 5º ano a maior percentagem de classificações Não Satisfaz. É no 6º ano que Formação Cívica tem maior percentagem de classificações Não Satisfaz.</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485775</xdr:colOff>
      <xdr:row>18</xdr:row>
      <xdr:rowOff>19050</xdr:rowOff>
    </xdr:from>
    <xdr:to>
      <xdr:col>7</xdr:col>
      <xdr:colOff>190500</xdr:colOff>
      <xdr:row>35</xdr:row>
      <xdr:rowOff>47625</xdr:rowOff>
    </xdr:to>
    <xdr:graphicFrame macro="">
      <xdr:nvGraphicFramePr>
        <xdr:cNvPr id="61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590550</xdr:colOff>
      <xdr:row>15</xdr:row>
      <xdr:rowOff>209550</xdr:rowOff>
    </xdr:from>
    <xdr:to>
      <xdr:col>16</xdr:col>
      <xdr:colOff>161925</xdr:colOff>
      <xdr:row>29</xdr:row>
      <xdr:rowOff>28575</xdr:rowOff>
    </xdr:to>
    <xdr:graphicFrame macro="">
      <xdr:nvGraphicFramePr>
        <xdr:cNvPr id="61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628650</xdr:colOff>
      <xdr:row>30</xdr:row>
      <xdr:rowOff>114300</xdr:rowOff>
    </xdr:from>
    <xdr:to>
      <xdr:col>16</xdr:col>
      <xdr:colOff>200025</xdr:colOff>
      <xdr:row>48</xdr:row>
      <xdr:rowOff>209550</xdr:rowOff>
    </xdr:to>
    <xdr:graphicFrame macro="">
      <xdr:nvGraphicFramePr>
        <xdr:cNvPr id="615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628651</xdr:colOff>
      <xdr:row>37</xdr:row>
      <xdr:rowOff>200026</xdr:rowOff>
    </xdr:from>
    <xdr:to>
      <xdr:col>29</xdr:col>
      <xdr:colOff>990600</xdr:colOff>
      <xdr:row>49</xdr:row>
      <xdr:rowOff>180975</xdr:rowOff>
    </xdr:to>
    <xdr:graphicFrame macro="">
      <xdr:nvGraphicFramePr>
        <xdr:cNvPr id="615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571500</xdr:colOff>
      <xdr:row>21</xdr:row>
      <xdr:rowOff>19049</xdr:rowOff>
    </xdr:from>
    <xdr:to>
      <xdr:col>29</xdr:col>
      <xdr:colOff>876300</xdr:colOff>
      <xdr:row>37</xdr:row>
      <xdr:rowOff>66674</xdr:rowOff>
    </xdr:to>
    <xdr:graphicFrame macro="">
      <xdr:nvGraphicFramePr>
        <xdr:cNvPr id="615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0</xdr:col>
      <xdr:colOff>409575</xdr:colOff>
      <xdr:row>34</xdr:row>
      <xdr:rowOff>152400</xdr:rowOff>
    </xdr:from>
    <xdr:ext cx="184731" cy="264560"/>
    <xdr:sp macro="" textlink="">
      <xdr:nvSpPr>
        <xdr:cNvPr id="7" name="CaixaDeTexto 6"/>
        <xdr:cNvSpPr txBox="1"/>
      </xdr:nvSpPr>
      <xdr:spPr>
        <a:xfrm>
          <a:off x="409575" y="687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sz="1100"/>
        </a:p>
      </xdr:txBody>
    </xdr:sp>
    <xdr:clientData/>
  </xdr:oneCellAnchor>
  <xdr:oneCellAnchor>
    <xdr:from>
      <xdr:col>22</xdr:col>
      <xdr:colOff>304800</xdr:colOff>
      <xdr:row>12</xdr:row>
      <xdr:rowOff>152400</xdr:rowOff>
    </xdr:from>
    <xdr:ext cx="184731" cy="264560"/>
    <xdr:sp macro="" textlink="">
      <xdr:nvSpPr>
        <xdr:cNvPr id="10" name="CaixaDeTexto 9"/>
        <xdr:cNvSpPr txBox="1"/>
      </xdr:nvSpPr>
      <xdr:spPr>
        <a:xfrm>
          <a:off x="1415415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PT" sz="1100"/>
        </a:p>
      </xdr:txBody>
    </xdr:sp>
    <xdr:clientData/>
  </xdr:oneCellAnchor>
  <xdr:oneCellAnchor>
    <xdr:from>
      <xdr:col>0</xdr:col>
      <xdr:colOff>76200</xdr:colOff>
      <xdr:row>2</xdr:row>
      <xdr:rowOff>9524</xdr:rowOff>
    </xdr:from>
    <xdr:ext cx="7740348" cy="1781176"/>
    <xdr:sp macro="" textlink="">
      <xdr:nvSpPr>
        <xdr:cNvPr id="12" name="CaixaDeTexto 11"/>
        <xdr:cNvSpPr txBox="1"/>
      </xdr:nvSpPr>
      <xdr:spPr>
        <a:xfrm>
          <a:off x="76200" y="553810"/>
          <a:ext cx="7740348" cy="1781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solidFill>
                <a:schemeClr val="tx1"/>
              </a:solidFill>
              <a:latin typeface="Lucida Sans Unicode" pitchFamily="34" charset="0"/>
              <a:ea typeface="+mn-ea"/>
              <a:cs typeface="Lucida Sans Unicode" pitchFamily="34" charset="0"/>
            </a:rPr>
            <a:t>No</a:t>
          </a:r>
          <a:r>
            <a:rPr lang="pt-PT" sz="1400" baseline="0">
              <a:solidFill>
                <a:schemeClr val="tx1"/>
              </a:solidFill>
              <a:latin typeface="Lucida Sans Unicode" pitchFamily="34" charset="0"/>
              <a:ea typeface="+mn-ea"/>
              <a:cs typeface="Lucida Sans Unicode" pitchFamily="34" charset="0"/>
            </a:rPr>
            <a:t> quadro seguinte está a relação entre o número de alunos com retenção repetida que ficaram retidos e a totalidade dos alunos retidos. Fazendo uma análise desses dados, podemos verificar que a</a:t>
          </a:r>
          <a:r>
            <a:rPr lang="pt-PT" sz="1400">
              <a:solidFill>
                <a:schemeClr val="tx1"/>
              </a:solidFill>
              <a:latin typeface="Lucida Sans Unicode" pitchFamily="34" charset="0"/>
              <a:ea typeface="+mn-ea"/>
              <a:cs typeface="Lucida Sans Unicode" pitchFamily="34" charset="0"/>
            </a:rPr>
            <a:t> percentagem de alunos com retenção repetida que ficaram retidos é mais elevada no 5ºano (77,8%), diminuindo no 3º ciclo e no 9º ano é a mais baixa de todas com 33,3%.</a:t>
          </a:r>
          <a:endParaRPr lang="pt-PT" sz="1400">
            <a:latin typeface="Lucida Sans Unicode" pitchFamily="34" charset="0"/>
            <a:cs typeface="Lucida Sans Unicode" pitchFamily="34" charset="0"/>
          </a:endParaRPr>
        </a:p>
      </xdr:txBody>
    </xdr:sp>
    <xdr:clientData/>
  </xdr:oneCellAnchor>
  <xdr:oneCellAnchor>
    <xdr:from>
      <xdr:col>9</xdr:col>
      <xdr:colOff>123824</xdr:colOff>
      <xdr:row>2</xdr:row>
      <xdr:rowOff>38100</xdr:rowOff>
    </xdr:from>
    <xdr:ext cx="7705726" cy="1809750"/>
    <xdr:sp macro="" textlink="">
      <xdr:nvSpPr>
        <xdr:cNvPr id="14" name="CaixaDeTexto 13"/>
        <xdr:cNvSpPr txBox="1"/>
      </xdr:nvSpPr>
      <xdr:spPr>
        <a:xfrm>
          <a:off x="8181974" y="590550"/>
          <a:ext cx="7705726" cy="1809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baseline="0">
              <a:solidFill>
                <a:schemeClr val="tx1"/>
              </a:solidFill>
              <a:latin typeface="Lucida Sans Unicode" pitchFamily="34" charset="0"/>
              <a:ea typeface="+mn-ea"/>
              <a:cs typeface="Lucida Sans Unicode" pitchFamily="34" charset="0"/>
            </a:rPr>
            <a:t>No que se refere aos alunos com Plano de Recuperação</a:t>
          </a:r>
          <a:r>
            <a:rPr lang="pt-PT" sz="1400">
              <a:solidFill>
                <a:schemeClr val="tx1"/>
              </a:solidFill>
              <a:latin typeface="Lucida Sans Unicode" pitchFamily="34" charset="0"/>
              <a:ea typeface="+mn-ea"/>
              <a:cs typeface="Lucida Sans Unicode" pitchFamily="34" charset="0"/>
            </a:rPr>
            <a:t>, verifica-se que é no 3ºciclo, 7º, 8º e 9º anos, que é maior o número de alunos com planos de recuperação e destes, a percentagem dos que transitaram, é maior no 6º e 8ºanos. É de referir, que mais de metade dos alunos da Escola (51,8%) têm plano de recuperação e destes, transitaram 63,6%.</a:t>
          </a:r>
          <a:endParaRPr lang="pt-PT" sz="1400">
            <a:latin typeface="Lucida Sans Unicode" pitchFamily="34" charset="0"/>
            <a:cs typeface="Lucida Sans Unicode" pitchFamily="34" charset="0"/>
          </a:endParaRPr>
        </a:p>
      </xdr:txBody>
    </xdr:sp>
    <xdr:clientData/>
  </xdr:oneCellAnchor>
  <xdr:oneCellAnchor>
    <xdr:from>
      <xdr:col>20</xdr:col>
      <xdr:colOff>85725</xdr:colOff>
      <xdr:row>1</xdr:row>
      <xdr:rowOff>47625</xdr:rowOff>
    </xdr:from>
    <xdr:ext cx="8258175" cy="3162300"/>
    <xdr:sp macro="" textlink="">
      <xdr:nvSpPr>
        <xdr:cNvPr id="15" name="CaixaDeTexto 14"/>
        <xdr:cNvSpPr txBox="1"/>
      </xdr:nvSpPr>
      <xdr:spPr>
        <a:xfrm>
          <a:off x="16287750" y="247650"/>
          <a:ext cx="8258175" cy="3162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pt-PT" sz="1400">
              <a:solidFill>
                <a:schemeClr val="tx1"/>
              </a:solidFill>
              <a:latin typeface="Lucida Sans Unicode" pitchFamily="34" charset="0"/>
              <a:ea typeface="+mn-ea"/>
              <a:cs typeface="Lucida Sans Unicode" pitchFamily="34" charset="0"/>
            </a:rPr>
            <a:t>Analisando o quadro relativo</a:t>
          </a:r>
          <a:r>
            <a:rPr lang="pt-PT" sz="1400" baseline="0">
              <a:solidFill>
                <a:schemeClr val="tx1"/>
              </a:solidFill>
              <a:latin typeface="Lucida Sans Unicode" pitchFamily="34" charset="0"/>
              <a:ea typeface="+mn-ea"/>
              <a:cs typeface="Lucida Sans Unicode" pitchFamily="34" charset="0"/>
            </a:rPr>
            <a:t> à presença/ausência dos Encarregados de Educação nas reuniões de entrega das avaliações de final de período</a:t>
          </a:r>
          <a:r>
            <a:rPr lang="pt-PT" sz="1400">
              <a:solidFill>
                <a:schemeClr val="tx1"/>
              </a:solidFill>
              <a:latin typeface="Lucida Sans Unicode" pitchFamily="34" charset="0"/>
              <a:ea typeface="+mn-ea"/>
              <a:cs typeface="Lucida Sans Unicode" pitchFamily="34" charset="0"/>
            </a:rPr>
            <a:t>, verifica-se que há uma discrepância entre o número total de Encarregados de Educação ao longo do ano lectivo, devido à flutuação da população escolar.</a:t>
          </a:r>
        </a:p>
        <a:p>
          <a:r>
            <a:rPr lang="pt-PT" sz="1400">
              <a:solidFill>
                <a:schemeClr val="tx1"/>
              </a:solidFill>
              <a:latin typeface="Lucida Sans Unicode" pitchFamily="34" charset="0"/>
              <a:ea typeface="+mn-ea"/>
              <a:cs typeface="Lucida Sans Unicode" pitchFamily="34" charset="0"/>
            </a:rPr>
            <a:t>Quanto aos CEF’s, no terceiro período não existe reunião dos Encarregados de Educação relativamente ao CEF 2, logo não são contabilizados estes Encarregados de Educação.</a:t>
          </a:r>
        </a:p>
        <a:p>
          <a:r>
            <a:rPr lang="pt-PT" sz="1400">
              <a:solidFill>
                <a:schemeClr val="tx1"/>
              </a:solidFill>
              <a:latin typeface="Lucida Sans Unicode" pitchFamily="34" charset="0"/>
              <a:ea typeface="+mn-ea"/>
              <a:cs typeface="Lucida Sans Unicode" pitchFamily="34" charset="0"/>
            </a:rPr>
            <a:t>O número de Encarregados de Educação presentes no 3ºperíodo, aumenta em relação aos períodos anteriores, excepto no 6º e 9º anos, que diminui ligeiramente, sendo nestes dois anos que se nota mais a ausência dos Encarregados de Educação. A percentagem de Encarregados de Educação ausentes no 3ºperíodo corresponde a mais de um quarto dos Encarregados de Educação da População escolar (27,1%).</a:t>
          </a:r>
        </a:p>
        <a:p>
          <a:endParaRPr lang="pt-PT" sz="1400">
            <a:latin typeface="Lucida Sans"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11</xdr:col>
      <xdr:colOff>523875</xdr:colOff>
      <xdr:row>18</xdr:row>
      <xdr:rowOff>28575</xdr:rowOff>
    </xdr:from>
    <xdr:to>
      <xdr:col>19</xdr:col>
      <xdr:colOff>0</xdr:colOff>
      <xdr:row>37</xdr:row>
      <xdr:rowOff>114300</xdr:rowOff>
    </xdr:to>
    <xdr:graphicFrame macro="">
      <xdr:nvGraphicFramePr>
        <xdr:cNvPr id="1024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428624</xdr:colOff>
      <xdr:row>20</xdr:row>
      <xdr:rowOff>28575</xdr:rowOff>
    </xdr:from>
    <xdr:to>
      <xdr:col>9</xdr:col>
      <xdr:colOff>323850</xdr:colOff>
      <xdr:row>35</xdr:row>
      <xdr:rowOff>180975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104774</xdr:colOff>
      <xdr:row>2</xdr:row>
      <xdr:rowOff>123825</xdr:rowOff>
    </xdr:from>
    <xdr:ext cx="8315325" cy="1514476"/>
    <xdr:sp macro="" textlink="">
      <xdr:nvSpPr>
        <xdr:cNvPr id="6" name="CaixaDeTexto 5"/>
        <xdr:cNvSpPr txBox="1"/>
      </xdr:nvSpPr>
      <xdr:spPr>
        <a:xfrm>
          <a:off x="104774" y="676275"/>
          <a:ext cx="8315325" cy="1514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solidFill>
                <a:schemeClr val="tx1"/>
              </a:solidFill>
              <a:latin typeface="Lucida Sans Unicode" pitchFamily="34" charset="0"/>
              <a:ea typeface="+mn-ea"/>
              <a:cs typeface="Lucida Sans Unicode" pitchFamily="34" charset="0"/>
            </a:rPr>
            <a:t>Contabilizando</a:t>
          </a:r>
          <a:r>
            <a:rPr lang="pt-PT" sz="1400" baseline="0">
              <a:solidFill>
                <a:schemeClr val="tx1"/>
              </a:solidFill>
              <a:latin typeface="Lucida Sans Unicode" pitchFamily="34" charset="0"/>
              <a:ea typeface="+mn-ea"/>
              <a:cs typeface="Lucida Sans Unicode" pitchFamily="34" charset="0"/>
            </a:rPr>
            <a:t> o número de dias de suspensão por ano e ciclo, verificamos que h</a:t>
          </a:r>
          <a:r>
            <a:rPr lang="pt-PT" sz="1400">
              <a:solidFill>
                <a:schemeClr val="tx1"/>
              </a:solidFill>
              <a:latin typeface="Lucida Sans Unicode" pitchFamily="34" charset="0"/>
              <a:ea typeface="+mn-ea"/>
              <a:cs typeface="Lucida Sans Unicode" pitchFamily="34" charset="0"/>
            </a:rPr>
            <a:t>á maior incidência de dias de suspensão no 5º e 7º anos de escolaridade.</a:t>
          </a:r>
          <a:r>
            <a:rPr lang="pt-PT" sz="1400" baseline="0">
              <a:solidFill>
                <a:schemeClr val="tx1"/>
              </a:solidFill>
              <a:latin typeface="Lucida Sans Unicode" pitchFamily="34" charset="0"/>
              <a:ea typeface="+mn-ea"/>
              <a:cs typeface="Lucida Sans Unicode" pitchFamily="34" charset="0"/>
            </a:rPr>
            <a:t> </a:t>
          </a:r>
          <a:r>
            <a:rPr lang="pt-PT" sz="1400">
              <a:solidFill>
                <a:schemeClr val="tx1"/>
              </a:solidFill>
              <a:latin typeface="Lucida Sans Unicode" pitchFamily="34" charset="0"/>
              <a:ea typeface="+mn-ea"/>
              <a:cs typeface="Lucida Sans Unicode" pitchFamily="34" charset="0"/>
            </a:rPr>
            <a:t>No 2ºciclo, a incidência de dias de suspensão é maior do que no 3ºciclo. O número de dias de suspensão (113), corresponde a aproximadamente dois terços do número total de dias de aulas (170).</a:t>
          </a:r>
          <a:endParaRPr lang="pt-PT" sz="1400">
            <a:latin typeface="Lucida Sans Unicode" pitchFamily="34" charset="0"/>
            <a:cs typeface="Lucida Sans Unicode" pitchFamily="34" charset="0"/>
          </a:endParaRPr>
        </a:p>
      </xdr:txBody>
    </xdr:sp>
    <xdr:clientData/>
  </xdr:oneCellAnchor>
  <xdr:oneCellAnchor>
    <xdr:from>
      <xdr:col>10</xdr:col>
      <xdr:colOff>114301</xdr:colOff>
      <xdr:row>2</xdr:row>
      <xdr:rowOff>95250</xdr:rowOff>
    </xdr:from>
    <xdr:ext cx="8124824" cy="1362075"/>
    <xdr:sp macro="" textlink="">
      <xdr:nvSpPr>
        <xdr:cNvPr id="7" name="CaixaDeTexto 6"/>
        <xdr:cNvSpPr txBox="1"/>
      </xdr:nvSpPr>
      <xdr:spPr>
        <a:xfrm>
          <a:off x="8705851" y="647700"/>
          <a:ext cx="8124824" cy="136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pt-PT" sz="1400">
              <a:latin typeface="Lucida Sans Unicode" pitchFamily="34" charset="0"/>
              <a:cs typeface="Lucida Sans Unicode" pitchFamily="34" charset="0"/>
            </a:rPr>
            <a:t>Analisando agora o número</a:t>
          </a:r>
          <a:r>
            <a:rPr lang="pt-PT" sz="1400" baseline="0">
              <a:latin typeface="Lucida Sans Unicode" pitchFamily="34" charset="0"/>
              <a:cs typeface="Lucida Sans Unicode" pitchFamily="34" charset="0"/>
            </a:rPr>
            <a:t> de alunos com suspensão, verificamos que a</a:t>
          </a:r>
          <a:r>
            <a:rPr lang="pt-PT" sz="1400">
              <a:latin typeface="Lucida Sans Unicode" pitchFamily="34" charset="0"/>
              <a:cs typeface="Lucida Sans Unicode" pitchFamily="34" charset="0"/>
            </a:rPr>
            <a:t> percentagem de alunos com dias de suspensão tem maior incidência no 2º ciclo. No entanto, os alunos dos Cursos de Educação e Formação revelam uma tendência para comportamentos desviantes.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ers&#227;o%20jo&#227;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 PROG-RET ALUNOS"/>
      <sheetName val="3 - APROV POR ANO E DISC."/>
      <sheetName val="3.1 MÉDIA 2º CICLO."/>
      <sheetName val="4 - AREAS NÃO DISC"/>
      <sheetName val="6 - DISCIPLINA E COMPORTAMENTOS"/>
      <sheetName val="9 - APOIO EDUCATIVO"/>
      <sheetName val="10 - ALUNOS NEE"/>
      <sheetName val="11 - CLAS. PROVAS E EXAMES"/>
      <sheetName val="12-ASE"/>
      <sheetName val="13-ALUNOS ESTRANGEIROS"/>
      <sheetName val="TRIÉNIO 1"/>
      <sheetName val="TRIÉNIO 2"/>
    </sheetNames>
    <sheetDataSet>
      <sheetData sheetId="0">
        <row r="12">
          <cell r="C12">
            <v>118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view="pageLayout" zoomScaleNormal="100" workbookViewId="0">
      <selection activeCell="F1" sqref="F1"/>
    </sheetView>
  </sheetViews>
  <sheetFormatPr defaultRowHeight="12.75" x14ac:dyDescent="0.2"/>
  <cols>
    <col min="2" max="2" width="11" customWidth="1"/>
    <col min="3" max="3" width="11.28515625" customWidth="1"/>
    <col min="5" max="5" width="11.28515625" customWidth="1"/>
    <col min="6" max="6" width="12.5703125" customWidth="1"/>
    <col min="7" max="7" width="12.28515625" customWidth="1"/>
    <col min="8" max="8" width="13.140625" customWidth="1"/>
  </cols>
  <sheetData>
    <row r="1" spans="1:9" ht="15.75" x14ac:dyDescent="0.25">
      <c r="A1" s="1" t="s">
        <v>0</v>
      </c>
    </row>
    <row r="2" spans="1:9" ht="15.75" x14ac:dyDescent="0.25">
      <c r="A2" s="1"/>
    </row>
    <row r="3" spans="1:9" ht="28.35" customHeight="1" x14ac:dyDescent="0.2"/>
    <row r="4" spans="1:9" ht="28.35" customHeight="1" x14ac:dyDescent="0.2"/>
    <row r="5" spans="1:9" ht="28.35" customHeight="1" x14ac:dyDescent="0.2"/>
    <row r="6" spans="1:9" ht="28.35" customHeight="1" x14ac:dyDescent="0.2"/>
    <row r="7" spans="1:9" ht="28.35" customHeight="1" x14ac:dyDescent="0.2"/>
    <row r="8" spans="1:9" ht="28.35" customHeight="1" x14ac:dyDescent="0.2">
      <c r="A8" s="93"/>
      <c r="B8" s="93"/>
      <c r="C8" s="93"/>
      <c r="D8" s="93"/>
      <c r="E8" s="93"/>
      <c r="F8" s="93"/>
      <c r="G8" s="93"/>
      <c r="H8" s="93"/>
      <c r="I8" s="93"/>
    </row>
    <row r="9" spans="1:9" ht="28.35" customHeight="1" x14ac:dyDescent="0.2">
      <c r="A9" s="93"/>
      <c r="B9" s="93"/>
      <c r="C9" s="93"/>
      <c r="D9" s="93"/>
      <c r="E9" s="93"/>
      <c r="F9" s="93"/>
      <c r="G9" s="93"/>
      <c r="H9" s="93"/>
      <c r="I9" s="93"/>
    </row>
    <row r="10" spans="1:9" ht="28.35" customHeight="1" x14ac:dyDescent="0.2">
      <c r="A10" s="93"/>
      <c r="B10" s="93"/>
      <c r="C10" s="93"/>
      <c r="D10" s="93"/>
      <c r="E10" s="93"/>
      <c r="F10" s="93"/>
      <c r="G10" s="93"/>
      <c r="H10" s="93"/>
      <c r="I10" s="93"/>
    </row>
    <row r="11" spans="1:9" ht="28.35" customHeight="1" x14ac:dyDescent="0.2">
      <c r="A11" s="93"/>
      <c r="B11" s="93"/>
      <c r="C11" s="93"/>
      <c r="D11" s="93"/>
      <c r="E11" s="93"/>
      <c r="F11" s="93"/>
      <c r="G11" s="93"/>
      <c r="H11" s="93"/>
    </row>
    <row r="12" spans="1:9" ht="28.35" customHeight="1" x14ac:dyDescent="0.2">
      <c r="A12" s="93"/>
      <c r="B12" s="93"/>
      <c r="C12" s="93"/>
      <c r="D12" s="93"/>
      <c r="E12" s="93"/>
      <c r="F12" s="93"/>
      <c r="G12" s="93"/>
      <c r="H12" s="93"/>
    </row>
    <row r="13" spans="1:9" x14ac:dyDescent="0.2">
      <c r="A13" s="93"/>
      <c r="B13" s="93"/>
      <c r="C13" s="93"/>
      <c r="D13" s="93"/>
      <c r="E13" s="93"/>
      <c r="F13" s="93"/>
      <c r="G13" s="93"/>
      <c r="H13" s="93"/>
    </row>
    <row r="14" spans="1:9" x14ac:dyDescent="0.2">
      <c r="A14" s="93"/>
      <c r="B14" s="93"/>
      <c r="C14" s="93"/>
      <c r="D14" s="93"/>
      <c r="E14" s="93"/>
      <c r="F14" s="93"/>
      <c r="G14" s="93"/>
      <c r="H14" s="93"/>
    </row>
    <row r="15" spans="1:9" ht="15.75" x14ac:dyDescent="0.25">
      <c r="A15" s="3" t="s">
        <v>1</v>
      </c>
    </row>
    <row r="16" spans="1:9" ht="16.5" thickBot="1" x14ac:dyDescent="0.3">
      <c r="A16" s="1"/>
      <c r="I16" s="93"/>
    </row>
    <row r="17" spans="1:9" ht="28.35" customHeight="1" x14ac:dyDescent="0.2">
      <c r="B17" s="197" t="s">
        <v>2</v>
      </c>
      <c r="C17" s="197" t="s">
        <v>180</v>
      </c>
      <c r="D17" s="197" t="s">
        <v>12</v>
      </c>
      <c r="E17" s="197" t="s">
        <v>13</v>
      </c>
      <c r="F17" s="197" t="s">
        <v>3</v>
      </c>
      <c r="G17" s="197" t="s">
        <v>14</v>
      </c>
      <c r="H17" s="197" t="s">
        <v>4</v>
      </c>
      <c r="I17" s="93"/>
    </row>
    <row r="18" spans="1:9" ht="28.35" customHeight="1" x14ac:dyDescent="0.2">
      <c r="B18" s="198"/>
      <c r="C18" s="198"/>
      <c r="D18" s="198"/>
      <c r="E18" s="198"/>
      <c r="F18" s="198"/>
      <c r="G18" s="198"/>
      <c r="H18" s="198"/>
      <c r="I18" s="93"/>
    </row>
    <row r="19" spans="1:9" ht="28.35" customHeight="1" thickBot="1" x14ac:dyDescent="0.25">
      <c r="B19" s="199"/>
      <c r="C19" s="199"/>
      <c r="D19" s="199"/>
      <c r="E19" s="199"/>
      <c r="F19" s="199"/>
      <c r="G19" s="199"/>
      <c r="H19" s="199"/>
      <c r="I19" s="93"/>
    </row>
    <row r="20" spans="1:9" ht="28.35" customHeight="1" thickBot="1" x14ac:dyDescent="0.25">
      <c r="A20" s="93"/>
      <c r="B20" s="94" t="s">
        <v>5</v>
      </c>
      <c r="C20" s="95">
        <v>133</v>
      </c>
      <c r="D20" s="95">
        <v>135</v>
      </c>
      <c r="E20" s="95">
        <f>20+19+16+19+16+18</f>
        <v>108</v>
      </c>
      <c r="F20" s="96">
        <f>E20/D20</f>
        <v>0.8</v>
      </c>
      <c r="G20" s="95">
        <f>6+8+4+4+5</f>
        <v>27</v>
      </c>
      <c r="H20" s="96">
        <f t="shared" ref="H20:H26" si="0">G20/C20</f>
        <v>0.20300751879699247</v>
      </c>
      <c r="I20" s="93"/>
    </row>
    <row r="21" spans="1:9" ht="28.35" customHeight="1" thickBot="1" x14ac:dyDescent="0.25">
      <c r="A21" s="93"/>
      <c r="B21" s="94" t="s">
        <v>6</v>
      </c>
      <c r="C21" s="95">
        <v>126</v>
      </c>
      <c r="D21" s="95">
        <v>127</v>
      </c>
      <c r="E21" s="95">
        <f>20+15+19+18+20+17</f>
        <v>109</v>
      </c>
      <c r="F21" s="96">
        <f>E21/D21</f>
        <v>0.8582677165354331</v>
      </c>
      <c r="G21" s="95">
        <f>4+4+3+2+2+3</f>
        <v>18</v>
      </c>
      <c r="H21" s="96">
        <f t="shared" si="0"/>
        <v>0.14285714285714285</v>
      </c>
      <c r="I21" s="93"/>
    </row>
    <row r="22" spans="1:9" ht="28.35" customHeight="1" thickBot="1" x14ac:dyDescent="0.25">
      <c r="A22" s="93"/>
      <c r="B22" s="94" t="s">
        <v>7</v>
      </c>
      <c r="C22" s="95">
        <f>19+20+20+18+25+24+18+18</f>
        <v>162</v>
      </c>
      <c r="D22" s="95">
        <v>162</v>
      </c>
      <c r="E22" s="95">
        <f>13+14+9+9+17+18+12+11</f>
        <v>103</v>
      </c>
      <c r="F22" s="96">
        <f>E22/D22</f>
        <v>0.63580246913580252</v>
      </c>
      <c r="G22" s="95">
        <f>6+6+11+9+8+6+6+7</f>
        <v>59</v>
      </c>
      <c r="H22" s="96">
        <f t="shared" si="0"/>
        <v>0.36419753086419754</v>
      </c>
      <c r="I22" s="93"/>
    </row>
    <row r="23" spans="1:9" ht="28.35" customHeight="1" thickBot="1" x14ac:dyDescent="0.25">
      <c r="A23" s="93"/>
      <c r="B23" s="94" t="s">
        <v>8</v>
      </c>
      <c r="C23" s="95">
        <f>18+18+21+19+24+20</f>
        <v>120</v>
      </c>
      <c r="D23" s="95">
        <v>120</v>
      </c>
      <c r="E23" s="95">
        <f>15+14+20+16+23+17</f>
        <v>105</v>
      </c>
      <c r="F23" s="96">
        <f>E23/D23</f>
        <v>0.875</v>
      </c>
      <c r="G23" s="95">
        <f>1+3+1+3+3+4</f>
        <v>15</v>
      </c>
      <c r="H23" s="96">
        <f t="shared" si="0"/>
        <v>0.125</v>
      </c>
    </row>
    <row r="24" spans="1:9" ht="28.35" customHeight="1" thickBot="1" x14ac:dyDescent="0.25">
      <c r="A24" s="93"/>
      <c r="B24" s="94" t="s">
        <v>9</v>
      </c>
      <c r="C24" s="95">
        <f>(101+1+3+8+5)</f>
        <v>118</v>
      </c>
      <c r="D24" s="95">
        <v>118</v>
      </c>
      <c r="E24" s="95">
        <f>101-4</f>
        <v>97</v>
      </c>
      <c r="F24" s="96">
        <f>E24/D24</f>
        <v>0.82203389830508478</v>
      </c>
      <c r="G24" s="95">
        <f>4+17</f>
        <v>21</v>
      </c>
      <c r="H24" s="96">
        <f t="shared" si="0"/>
        <v>0.17796610169491525</v>
      </c>
    </row>
    <row r="25" spans="1:9" ht="28.35" customHeight="1" thickBot="1" x14ac:dyDescent="0.25">
      <c r="A25" s="93"/>
      <c r="B25" s="94" t="s">
        <v>10</v>
      </c>
      <c r="C25" s="95">
        <v>33</v>
      </c>
      <c r="D25" s="95">
        <v>33</v>
      </c>
      <c r="E25" s="95">
        <f>14+7+9</f>
        <v>30</v>
      </c>
      <c r="F25" s="96">
        <f>E25/C25</f>
        <v>0.90909090909090906</v>
      </c>
      <c r="G25" s="95">
        <v>1</v>
      </c>
      <c r="H25" s="96">
        <f t="shared" si="0"/>
        <v>3.0303030303030304E-2</v>
      </c>
    </row>
    <row r="26" spans="1:9" ht="28.35" customHeight="1" thickBot="1" x14ac:dyDescent="0.25">
      <c r="A26" s="93"/>
      <c r="B26" s="94" t="s">
        <v>11</v>
      </c>
      <c r="C26" s="95">
        <f>SUM(C20:C25)</f>
        <v>692</v>
      </c>
      <c r="D26" s="95">
        <f>SUM(D20:D25)</f>
        <v>695</v>
      </c>
      <c r="E26" s="95">
        <f>SUM(E20:E25)</f>
        <v>552</v>
      </c>
      <c r="F26" s="96">
        <f>E26/C26</f>
        <v>0.79768786127167635</v>
      </c>
      <c r="G26" s="95">
        <f>SUM(G20:G25)</f>
        <v>141</v>
      </c>
      <c r="H26" s="96">
        <f t="shared" si="0"/>
        <v>0.20375722543352601</v>
      </c>
    </row>
    <row r="39" spans="2:9" ht="15.75" x14ac:dyDescent="0.2">
      <c r="B39" s="66"/>
      <c r="C39" s="66"/>
      <c r="D39" s="73"/>
      <c r="E39" s="66"/>
      <c r="F39" s="66"/>
      <c r="G39" s="66"/>
      <c r="H39" s="66"/>
      <c r="I39" s="66"/>
    </row>
    <row r="40" spans="2:9" ht="15.75" x14ac:dyDescent="0.2">
      <c r="B40" s="65"/>
      <c r="C40" s="65"/>
      <c r="D40" s="74"/>
      <c r="E40" s="65"/>
      <c r="F40" s="65"/>
      <c r="G40" s="65"/>
      <c r="H40" s="65"/>
      <c r="I40" s="65"/>
    </row>
    <row r="54" spans="11:11" x14ac:dyDescent="0.2">
      <c r="K54">
        <v>3</v>
      </c>
    </row>
  </sheetData>
  <mergeCells count="7">
    <mergeCell ref="H17:H19"/>
    <mergeCell ref="D17:D19"/>
    <mergeCell ref="B17:B19"/>
    <mergeCell ref="E17:E19"/>
    <mergeCell ref="C17:C19"/>
    <mergeCell ref="F17:F19"/>
    <mergeCell ref="G17:G19"/>
  </mergeCells>
  <printOptions horizontalCentered="1"/>
  <pageMargins left="0.78740157480314965" right="0.78740157480314965"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enableFormatConditionsCalculation="0">
    <tabColor indexed="11"/>
  </sheetPr>
  <dimension ref="A1:U58"/>
  <sheetViews>
    <sheetView view="pageLayout" topLeftCell="K1" zoomScaleNormal="75" zoomScaleSheetLayoutView="100" workbookViewId="0">
      <selection activeCell="K2" sqref="K2"/>
    </sheetView>
  </sheetViews>
  <sheetFormatPr defaultRowHeight="12.75" x14ac:dyDescent="0.2"/>
  <cols>
    <col min="3" max="3" width="10.85546875" customWidth="1"/>
    <col min="4" max="4" width="12.5703125" customWidth="1"/>
    <col min="5" max="5" width="16.7109375" customWidth="1"/>
    <col min="6" max="6" width="17.140625" customWidth="1"/>
    <col min="7" max="7" width="18.42578125" customWidth="1"/>
    <col min="15" max="15" width="11.28515625" customWidth="1"/>
    <col min="16" max="16" width="13.140625" customWidth="1"/>
    <col min="17" max="17" width="13" customWidth="1"/>
    <col min="18" max="18" width="12.7109375" customWidth="1"/>
    <col min="19" max="19" width="13.140625" customWidth="1"/>
  </cols>
  <sheetData>
    <row r="1" spans="1:19" ht="15.75" x14ac:dyDescent="0.25">
      <c r="A1" s="1" t="s">
        <v>216</v>
      </c>
      <c r="K1" s="1" t="s">
        <v>230</v>
      </c>
    </row>
    <row r="2" spans="1:19" ht="28.35" customHeight="1" x14ac:dyDescent="0.25">
      <c r="A2" s="1" t="s">
        <v>229</v>
      </c>
      <c r="B2" s="1"/>
    </row>
    <row r="4" spans="1:19" ht="28.35" customHeight="1" x14ac:dyDescent="0.2"/>
    <row r="5" spans="1:19" ht="28.35" customHeight="1" x14ac:dyDescent="0.2"/>
    <row r="6" spans="1:19" ht="28.35" customHeight="1" x14ac:dyDescent="0.2"/>
    <row r="7" spans="1:19" ht="28.35" customHeight="1" x14ac:dyDescent="0.2"/>
    <row r="8" spans="1:19" ht="16.5" customHeight="1" x14ac:dyDescent="0.25">
      <c r="A8" s="3" t="s">
        <v>65</v>
      </c>
    </row>
    <row r="9" spans="1:19" ht="16.5" customHeight="1" thickBot="1" x14ac:dyDescent="0.3">
      <c r="K9" s="3" t="s">
        <v>67</v>
      </c>
      <c r="L9" s="3"/>
    </row>
    <row r="10" spans="1:19" ht="95.25" thickBot="1" x14ac:dyDescent="0.25">
      <c r="B10" s="119" t="s">
        <v>2</v>
      </c>
      <c r="C10" s="130" t="s">
        <v>12</v>
      </c>
      <c r="D10" s="130" t="s">
        <v>101</v>
      </c>
      <c r="E10" s="140" t="s">
        <v>179</v>
      </c>
      <c r="F10" s="140" t="s">
        <v>159</v>
      </c>
      <c r="G10" s="140" t="s">
        <v>158</v>
      </c>
      <c r="M10" s="119" t="s">
        <v>2</v>
      </c>
      <c r="N10" s="130" t="s">
        <v>12</v>
      </c>
      <c r="O10" s="130" t="s">
        <v>122</v>
      </c>
      <c r="P10" s="140" t="s">
        <v>131</v>
      </c>
      <c r="Q10" s="143" t="s">
        <v>160</v>
      </c>
      <c r="R10" s="140" t="s">
        <v>130</v>
      </c>
      <c r="S10" s="140" t="s">
        <v>132</v>
      </c>
    </row>
    <row r="11" spans="1:19" s="93" customFormat="1" ht="28.35" customHeight="1" thickBot="1" x14ac:dyDescent="0.25">
      <c r="B11" s="29" t="s">
        <v>5</v>
      </c>
      <c r="C11" s="121">
        <f>'2'!D20</f>
        <v>135</v>
      </c>
      <c r="D11" s="121">
        <v>48</v>
      </c>
      <c r="E11" s="124">
        <f>D11/170</f>
        <v>0.28235294117647058</v>
      </c>
      <c r="F11" s="242">
        <f>D11+D12</f>
        <v>64</v>
      </c>
      <c r="G11" s="243">
        <f>F11/170</f>
        <v>0.37647058823529411</v>
      </c>
      <c r="M11" s="6" t="s">
        <v>5</v>
      </c>
      <c r="N11" s="7">
        <f>'2'!D20</f>
        <v>135</v>
      </c>
      <c r="O11" s="41">
        <v>15</v>
      </c>
      <c r="P11" s="45">
        <f t="shared" ref="P11:P17" si="0">O11/N11</f>
        <v>0.1111111111111111</v>
      </c>
      <c r="Q11" s="236">
        <f>O11+O12</f>
        <v>23</v>
      </c>
      <c r="R11" s="239">
        <f>(O11+O12)/(N11+N12)</f>
        <v>8.7786259541984726E-2</v>
      </c>
      <c r="S11" s="46">
        <f t="shared" ref="S11:S17" si="1">D11/O11</f>
        <v>3.2</v>
      </c>
    </row>
    <row r="12" spans="1:19" s="93" customFormat="1" ht="28.35" customHeight="1" thickBot="1" x14ac:dyDescent="0.25">
      <c r="B12" s="29" t="s">
        <v>6</v>
      </c>
      <c r="C12" s="121">
        <f>'2'!D21</f>
        <v>127</v>
      </c>
      <c r="D12" s="121">
        <v>16</v>
      </c>
      <c r="E12" s="124">
        <f>D12/170</f>
        <v>9.4117647058823528E-2</v>
      </c>
      <c r="F12" s="242"/>
      <c r="G12" s="243"/>
      <c r="M12" s="6" t="s">
        <v>6</v>
      </c>
      <c r="N12" s="88">
        <f>'2'!D21</f>
        <v>127</v>
      </c>
      <c r="O12" s="41">
        <v>8</v>
      </c>
      <c r="P12" s="45">
        <f t="shared" si="0"/>
        <v>6.2992125984251968E-2</v>
      </c>
      <c r="Q12" s="237"/>
      <c r="R12" s="244"/>
      <c r="S12" s="46">
        <f t="shared" si="1"/>
        <v>2</v>
      </c>
    </row>
    <row r="13" spans="1:19" s="93" customFormat="1" ht="28.35" customHeight="1" thickBot="1" x14ac:dyDescent="0.25">
      <c r="B13" s="29" t="s">
        <v>7</v>
      </c>
      <c r="C13" s="121">
        <f>'2'!C22</f>
        <v>162</v>
      </c>
      <c r="D13" s="121">
        <v>24</v>
      </c>
      <c r="E13" s="124">
        <f>D13/170</f>
        <v>0.14117647058823529</v>
      </c>
      <c r="F13" s="242">
        <f>D13+D14+D15</f>
        <v>39</v>
      </c>
      <c r="G13" s="243">
        <f>F13/170</f>
        <v>0.22941176470588234</v>
      </c>
      <c r="M13" s="6" t="s">
        <v>7</v>
      </c>
      <c r="N13" s="7">
        <f>'2'!C22</f>
        <v>162</v>
      </c>
      <c r="O13" s="41">
        <v>15</v>
      </c>
      <c r="P13" s="45">
        <f t="shared" si="0"/>
        <v>9.2592592592592587E-2</v>
      </c>
      <c r="Q13" s="236">
        <f>(O13+O14+O15+O16)</f>
        <v>31</v>
      </c>
      <c r="R13" s="239">
        <f>Q13/(N13+N14+N15+N16)</f>
        <v>7.1593533487297925E-2</v>
      </c>
      <c r="S13" s="46">
        <f t="shared" si="1"/>
        <v>1.6</v>
      </c>
    </row>
    <row r="14" spans="1:19" s="93" customFormat="1" ht="28.35" customHeight="1" thickBot="1" x14ac:dyDescent="0.25">
      <c r="B14" s="29" t="s">
        <v>8</v>
      </c>
      <c r="C14" s="121">
        <f>'2'!C23</f>
        <v>120</v>
      </c>
      <c r="D14" s="121">
        <v>11</v>
      </c>
      <c r="E14" s="124">
        <f>D14/170</f>
        <v>6.4705882352941183E-2</v>
      </c>
      <c r="F14" s="242"/>
      <c r="G14" s="243"/>
      <c r="M14" s="6" t="s">
        <v>8</v>
      </c>
      <c r="N14" s="7">
        <f>'2'!C23</f>
        <v>120</v>
      </c>
      <c r="O14" s="41">
        <v>6</v>
      </c>
      <c r="P14" s="45">
        <f t="shared" si="0"/>
        <v>0.05</v>
      </c>
      <c r="Q14" s="238"/>
      <c r="R14" s="240"/>
      <c r="S14" s="46">
        <f t="shared" si="1"/>
        <v>1.8333333333333333</v>
      </c>
    </row>
    <row r="15" spans="1:19" s="93" customFormat="1" ht="28.35" customHeight="1" thickBot="1" x14ac:dyDescent="0.25">
      <c r="B15" s="29" t="s">
        <v>9</v>
      </c>
      <c r="C15" s="121">
        <f>'2'!C24</f>
        <v>118</v>
      </c>
      <c r="D15" s="121">
        <v>4</v>
      </c>
      <c r="E15" s="124">
        <f>D15/164</f>
        <v>2.4390243902439025E-2</v>
      </c>
      <c r="F15" s="242"/>
      <c r="G15" s="243"/>
      <c r="M15" s="29" t="s">
        <v>9</v>
      </c>
      <c r="N15" s="121">
        <f>'2'!C24</f>
        <v>118</v>
      </c>
      <c r="O15" s="141">
        <v>4</v>
      </c>
      <c r="P15" s="124">
        <f t="shared" si="0"/>
        <v>3.3898305084745763E-2</v>
      </c>
      <c r="Q15" s="238"/>
      <c r="R15" s="240"/>
      <c r="S15" s="142">
        <f t="shared" si="1"/>
        <v>1</v>
      </c>
    </row>
    <row r="16" spans="1:19" s="93" customFormat="1" ht="28.35" customHeight="1" thickBot="1" x14ac:dyDescent="0.25">
      <c r="B16" s="29" t="s">
        <v>95</v>
      </c>
      <c r="C16" s="121">
        <f>'2'!C25</f>
        <v>33</v>
      </c>
      <c r="D16" s="121">
        <v>10</v>
      </c>
      <c r="E16" s="124">
        <f>D16/170</f>
        <v>5.8823529411764705E-2</v>
      </c>
      <c r="F16" s="123">
        <f>D16</f>
        <v>10</v>
      </c>
      <c r="G16" s="124">
        <f>F16/170</f>
        <v>5.8823529411764705E-2</v>
      </c>
      <c r="M16" s="29" t="s">
        <v>95</v>
      </c>
      <c r="N16" s="121">
        <f>'2'!C25</f>
        <v>33</v>
      </c>
      <c r="O16" s="141">
        <v>6</v>
      </c>
      <c r="P16" s="124">
        <f t="shared" si="0"/>
        <v>0.18181818181818182</v>
      </c>
      <c r="Q16" s="237"/>
      <c r="R16" s="241"/>
      <c r="S16" s="142">
        <f t="shared" si="1"/>
        <v>1.6666666666666667</v>
      </c>
    </row>
    <row r="17" spans="2:19" s="93" customFormat="1" ht="28.35" customHeight="1" thickBot="1" x14ac:dyDescent="0.25">
      <c r="B17" s="29" t="s">
        <v>11</v>
      </c>
      <c r="C17" s="121">
        <f>SUM(C11:C15)</f>
        <v>662</v>
      </c>
      <c r="D17" s="121">
        <f>SUM(D11:D16)</f>
        <v>113</v>
      </c>
      <c r="E17" s="124">
        <f>D17/170</f>
        <v>0.66470588235294115</v>
      </c>
      <c r="F17" s="123">
        <f>SUM(F11:F16)</f>
        <v>113</v>
      </c>
      <c r="G17" s="124">
        <f>F17/170</f>
        <v>0.66470588235294115</v>
      </c>
      <c r="M17" s="29" t="s">
        <v>11</v>
      </c>
      <c r="N17" s="121">
        <f>SUM(N11:N15)</f>
        <v>662</v>
      </c>
      <c r="O17" s="141">
        <f>SUM(O11:O16)</f>
        <v>54</v>
      </c>
      <c r="P17" s="124">
        <f t="shared" si="0"/>
        <v>8.1570996978851965E-2</v>
      </c>
      <c r="Q17" s="60">
        <f>SUM(Q11:Q16)</f>
        <v>54</v>
      </c>
      <c r="R17" s="124">
        <f>Q17/N17</f>
        <v>8.1570996978851965E-2</v>
      </c>
      <c r="S17" s="142">
        <f t="shared" si="1"/>
        <v>2.0925925925925926</v>
      </c>
    </row>
    <row r="36" spans="1:19" ht="15.75" customHeight="1" x14ac:dyDescent="0.2">
      <c r="A36" s="76"/>
      <c r="B36" s="76"/>
      <c r="C36" s="76"/>
      <c r="D36" s="76"/>
      <c r="E36" s="76"/>
      <c r="F36" s="76"/>
      <c r="G36" s="76"/>
      <c r="H36" s="76"/>
      <c r="I36" s="76"/>
      <c r="J36" s="76"/>
      <c r="K36" s="76"/>
      <c r="L36" s="76"/>
    </row>
    <row r="37" spans="1:19" ht="15.75" customHeight="1" x14ac:dyDescent="0.2">
      <c r="A37" s="76"/>
      <c r="B37" s="76"/>
      <c r="C37" s="76"/>
      <c r="D37" s="76"/>
      <c r="E37" s="76"/>
      <c r="F37" s="76"/>
      <c r="G37" s="76"/>
      <c r="H37" s="76"/>
      <c r="I37" s="76"/>
      <c r="J37" s="76"/>
      <c r="K37" s="76"/>
      <c r="L37" s="76"/>
    </row>
    <row r="38" spans="1:19" ht="12.75" customHeight="1" x14ac:dyDescent="0.2">
      <c r="A38" s="76"/>
      <c r="B38" s="76"/>
      <c r="C38" s="76"/>
      <c r="D38" s="76"/>
      <c r="E38" s="76"/>
      <c r="F38" s="76"/>
      <c r="G38" s="76"/>
      <c r="H38" s="76"/>
      <c r="I38" s="76"/>
      <c r="J38" s="76"/>
      <c r="K38" s="76"/>
      <c r="L38" s="76"/>
    </row>
    <row r="43" spans="1:19" ht="12.75" customHeight="1" x14ac:dyDescent="0.2">
      <c r="L43" s="76"/>
      <c r="M43" s="76"/>
      <c r="N43" s="76"/>
      <c r="O43" s="76"/>
      <c r="P43" s="76"/>
      <c r="Q43" s="76"/>
      <c r="R43" s="76"/>
      <c r="S43" s="76"/>
    </row>
    <row r="44" spans="1:19" ht="12.75" customHeight="1" x14ac:dyDescent="0.2">
      <c r="L44" s="76"/>
      <c r="M44" s="76"/>
      <c r="N44" s="76"/>
      <c r="O44" s="76"/>
      <c r="P44" s="76"/>
      <c r="Q44" s="76"/>
      <c r="R44" s="76"/>
      <c r="S44" s="76"/>
    </row>
    <row r="45" spans="1:19" ht="12.75" customHeight="1" x14ac:dyDescent="0.2">
      <c r="L45" s="76"/>
      <c r="M45" s="76"/>
      <c r="N45" s="76"/>
      <c r="O45" s="76"/>
      <c r="P45" s="76"/>
      <c r="Q45" s="76"/>
      <c r="R45" s="76"/>
      <c r="S45" s="76"/>
    </row>
    <row r="58" spans="10:21" x14ac:dyDescent="0.2">
      <c r="J58">
        <v>17</v>
      </c>
      <c r="U58">
        <v>18</v>
      </c>
    </row>
  </sheetData>
  <mergeCells count="8">
    <mergeCell ref="Q11:Q12"/>
    <mergeCell ref="Q13:Q16"/>
    <mergeCell ref="R13:R16"/>
    <mergeCell ref="F11:F12"/>
    <mergeCell ref="F13:F15"/>
    <mergeCell ref="G13:G15"/>
    <mergeCell ref="G11:G12"/>
    <mergeCell ref="R11:R12"/>
  </mergeCells>
  <phoneticPr fontId="6" type="noConversion"/>
  <pageMargins left="0.78740157499999996" right="0.78740157499999996" top="0.98425196850393704" bottom="0.98425196850393704" header="0" footer="0"/>
  <pageSetup paperSize="9" scale="69" orientation="portrait" horizontalDpi="300" verticalDpi="300" r:id="rId1"/>
  <headerFooter>
    <oddHeader>&amp;L&amp;G&amp;R
RELATÓRIO DE AUTO-AVALIAÇÃO DA ESCOLA
&amp;8ANO LECTIVO 2008/09&amp;10
____________________________________________________________________________________________</oddHeader>
  </headerFooter>
  <colBreaks count="1" manualBreakCount="1">
    <brk id="10"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enableFormatConditionsCalculation="0">
    <tabColor indexed="11"/>
  </sheetPr>
  <dimension ref="A1:K63"/>
  <sheetViews>
    <sheetView view="pageLayout" zoomScaleNormal="100" zoomScaleSheetLayoutView="100" workbookViewId="0">
      <selection activeCell="E9" sqref="E9"/>
    </sheetView>
  </sheetViews>
  <sheetFormatPr defaultRowHeight="12.75" x14ac:dyDescent="0.2"/>
  <cols>
    <col min="4" max="4" width="12.28515625" customWidth="1"/>
    <col min="5" max="5" width="13" customWidth="1"/>
    <col min="6" max="6" width="12.85546875" customWidth="1"/>
    <col min="7" max="7" width="11.28515625" customWidth="1"/>
    <col min="8" max="8" width="15.28515625" customWidth="1"/>
  </cols>
  <sheetData>
    <row r="1" spans="1:8" ht="15.75" x14ac:dyDescent="0.25">
      <c r="A1" s="1" t="s">
        <v>217</v>
      </c>
    </row>
    <row r="2" spans="1:8" ht="15.75" x14ac:dyDescent="0.25">
      <c r="A2" s="1"/>
    </row>
    <row r="3" spans="1:8" ht="15.75" x14ac:dyDescent="0.25">
      <c r="A3" s="1"/>
    </row>
    <row r="4" spans="1:8" ht="15.75" x14ac:dyDescent="0.25">
      <c r="A4" s="1"/>
    </row>
    <row r="5" spans="1:8" ht="15.75" x14ac:dyDescent="0.25">
      <c r="A5" s="1"/>
    </row>
    <row r="6" spans="1:8" ht="15.75" x14ac:dyDescent="0.25">
      <c r="A6" s="1"/>
    </row>
    <row r="7" spans="1:8" ht="15.75" x14ac:dyDescent="0.25">
      <c r="A7" s="1"/>
    </row>
    <row r="9" spans="1:8" ht="15.75" x14ac:dyDescent="0.25">
      <c r="A9" s="3" t="s">
        <v>100</v>
      </c>
    </row>
    <row r="10" spans="1:8" ht="13.5" thickBot="1" x14ac:dyDescent="0.25"/>
    <row r="11" spans="1:8" ht="79.5" thickBot="1" x14ac:dyDescent="0.25">
      <c r="B11" s="119" t="s">
        <v>2</v>
      </c>
      <c r="C11" s="130" t="s">
        <v>110</v>
      </c>
      <c r="D11" s="130" t="s">
        <v>111</v>
      </c>
      <c r="E11" s="130" t="s">
        <v>113</v>
      </c>
      <c r="F11" s="130" t="s">
        <v>112</v>
      </c>
      <c r="G11" s="130" t="s">
        <v>123</v>
      </c>
      <c r="H11" s="130" t="s">
        <v>119</v>
      </c>
    </row>
    <row r="12" spans="1:8" s="93" customFormat="1" ht="28.35" customHeight="1" thickBot="1" x14ac:dyDescent="0.25">
      <c r="B12" s="29" t="s">
        <v>114</v>
      </c>
      <c r="C12" s="153" t="s">
        <v>117</v>
      </c>
      <c r="D12" s="153">
        <v>18</v>
      </c>
      <c r="E12" s="153">
        <v>1</v>
      </c>
      <c r="F12" s="153">
        <v>1</v>
      </c>
      <c r="G12" s="153">
        <v>2</v>
      </c>
      <c r="H12" s="153">
        <v>15</v>
      </c>
    </row>
    <row r="13" spans="1:8" s="93" customFormat="1" ht="28.35" customHeight="1" thickBot="1" x14ac:dyDescent="0.25">
      <c r="B13" s="29" t="s">
        <v>115</v>
      </c>
      <c r="C13" s="153" t="s">
        <v>116</v>
      </c>
      <c r="D13" s="153">
        <v>11</v>
      </c>
      <c r="E13" s="153">
        <v>2</v>
      </c>
      <c r="F13" s="153">
        <v>0</v>
      </c>
      <c r="G13" s="153">
        <v>0</v>
      </c>
      <c r="H13" s="153">
        <v>9</v>
      </c>
    </row>
    <row r="14" spans="1:8" s="93" customFormat="1" ht="28.35" customHeight="1" thickBot="1" x14ac:dyDescent="0.25">
      <c r="B14" s="29" t="s">
        <v>115</v>
      </c>
      <c r="C14" s="153" t="s">
        <v>117</v>
      </c>
      <c r="D14" s="153">
        <v>9</v>
      </c>
      <c r="E14" s="153">
        <v>0</v>
      </c>
      <c r="F14" s="153">
        <v>0</v>
      </c>
      <c r="G14" s="153">
        <v>0</v>
      </c>
      <c r="H14" s="153">
        <v>9</v>
      </c>
    </row>
    <row r="36" spans="1:11" ht="15.75" customHeight="1" x14ac:dyDescent="0.2"/>
    <row r="37" spans="1:11" ht="21" customHeight="1" x14ac:dyDescent="0.2"/>
    <row r="40" spans="1:11" ht="12.75" customHeight="1" x14ac:dyDescent="0.2">
      <c r="A40" s="76"/>
      <c r="B40" s="76"/>
      <c r="C40" s="76"/>
      <c r="D40" s="76"/>
      <c r="E40" s="76"/>
      <c r="F40" s="76"/>
      <c r="G40" s="76"/>
      <c r="H40" s="76"/>
      <c r="I40" s="76"/>
      <c r="J40" s="76"/>
      <c r="K40" s="76"/>
    </row>
    <row r="41" spans="1:11" ht="29.25" customHeight="1" x14ac:dyDescent="0.2">
      <c r="A41" s="76"/>
      <c r="B41" s="76"/>
      <c r="C41" s="76"/>
      <c r="D41" s="76"/>
      <c r="E41" s="76"/>
      <c r="F41" s="76"/>
      <c r="G41" s="76"/>
      <c r="H41" s="76"/>
      <c r="I41" s="76"/>
      <c r="J41" s="76"/>
      <c r="K41" s="76"/>
    </row>
    <row r="63" spans="10:10" x14ac:dyDescent="0.2">
      <c r="J63">
        <v>19</v>
      </c>
    </row>
  </sheetData>
  <phoneticPr fontId="6" type="noConversion"/>
  <pageMargins left="0.78740157499999996" right="0.78740157499999996" top="0.98425196850393704" bottom="0.98425196850393704" header="0" footer="0"/>
  <pageSetup paperSize="9" scale="71" orientation="portrait" horizontalDpi="300" verticalDpi="300"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enableFormatConditionsCalculation="0">
    <tabColor indexed="11"/>
  </sheetPr>
  <dimension ref="A1:J61"/>
  <sheetViews>
    <sheetView view="pageLayout" zoomScaleNormal="100" workbookViewId="0">
      <selection activeCell="H12" sqref="H12"/>
    </sheetView>
  </sheetViews>
  <sheetFormatPr defaultRowHeight="12.75" x14ac:dyDescent="0.2"/>
  <cols>
    <col min="2" max="2" width="7.42578125" customWidth="1"/>
    <col min="3" max="3" width="13.85546875" customWidth="1"/>
    <col min="4" max="4" width="12" customWidth="1"/>
    <col min="5" max="5" width="18.28515625" customWidth="1"/>
    <col min="6" max="6" width="15.5703125" customWidth="1"/>
  </cols>
  <sheetData>
    <row r="1" spans="1:6" ht="15.75" x14ac:dyDescent="0.25">
      <c r="A1" s="1" t="s">
        <v>218</v>
      </c>
    </row>
    <row r="2" spans="1:6" ht="15.75" x14ac:dyDescent="0.25">
      <c r="A2" s="1"/>
    </row>
    <row r="3" spans="1:6" ht="15.75" x14ac:dyDescent="0.25">
      <c r="A3" s="1"/>
    </row>
    <row r="4" spans="1:6" ht="15.75" x14ac:dyDescent="0.25">
      <c r="A4" s="1"/>
    </row>
    <row r="5" spans="1:6" ht="15.75" x14ac:dyDescent="0.25">
      <c r="A5" s="1"/>
    </row>
    <row r="6" spans="1:6" ht="15.75" x14ac:dyDescent="0.25">
      <c r="A6" s="1"/>
    </row>
    <row r="7" spans="1:6" ht="15.75" x14ac:dyDescent="0.25">
      <c r="A7" s="1"/>
    </row>
    <row r="8" spans="1:6" ht="15.75" x14ac:dyDescent="0.25">
      <c r="A8" s="2"/>
    </row>
    <row r="9" spans="1:6" ht="15.75" x14ac:dyDescent="0.25">
      <c r="A9" s="3" t="s">
        <v>120</v>
      </c>
    </row>
    <row r="10" spans="1:6" ht="16.5" thickBot="1" x14ac:dyDescent="0.3">
      <c r="A10" s="1"/>
    </row>
    <row r="11" spans="1:6" ht="48" thickBot="1" x14ac:dyDescent="0.25">
      <c r="C11" s="119" t="s">
        <v>2</v>
      </c>
      <c r="D11" s="130" t="s">
        <v>12</v>
      </c>
      <c r="E11" s="130" t="s">
        <v>50</v>
      </c>
      <c r="F11" s="130" t="s">
        <v>51</v>
      </c>
    </row>
    <row r="12" spans="1:6" s="93" customFormat="1" ht="28.35" customHeight="1" thickBot="1" x14ac:dyDescent="0.25">
      <c r="C12" s="29" t="s">
        <v>5</v>
      </c>
      <c r="D12" s="121">
        <f>'2'!D20</f>
        <v>135</v>
      </c>
      <c r="E12" s="121">
        <v>4</v>
      </c>
      <c r="F12" s="23">
        <f t="shared" ref="F12:F17" si="0">E12/D12</f>
        <v>2.9629629629629631E-2</v>
      </c>
    </row>
    <row r="13" spans="1:6" s="93" customFormat="1" ht="28.35" customHeight="1" thickBot="1" x14ac:dyDescent="0.25">
      <c r="C13" s="29" t="s">
        <v>6</v>
      </c>
      <c r="D13" s="153">
        <f>'2'!D21</f>
        <v>127</v>
      </c>
      <c r="E13" s="121">
        <v>6</v>
      </c>
      <c r="F13" s="23">
        <f t="shared" si="0"/>
        <v>4.7244094488188976E-2</v>
      </c>
    </row>
    <row r="14" spans="1:6" s="93" customFormat="1" ht="28.35" customHeight="1" thickBot="1" x14ac:dyDescent="0.25">
      <c r="C14" s="29" t="s">
        <v>7</v>
      </c>
      <c r="D14" s="121">
        <f>'2'!C22</f>
        <v>162</v>
      </c>
      <c r="E14" s="121">
        <v>1</v>
      </c>
      <c r="F14" s="23">
        <f t="shared" si="0"/>
        <v>6.1728395061728392E-3</v>
      </c>
    </row>
    <row r="15" spans="1:6" s="93" customFormat="1" ht="28.35" customHeight="1" thickBot="1" x14ac:dyDescent="0.25">
      <c r="C15" s="29" t="s">
        <v>8</v>
      </c>
      <c r="D15" s="121">
        <f>'2'!C23</f>
        <v>120</v>
      </c>
      <c r="E15" s="121">
        <v>0</v>
      </c>
      <c r="F15" s="23">
        <f t="shared" si="0"/>
        <v>0</v>
      </c>
    </row>
    <row r="16" spans="1:6" s="93" customFormat="1" ht="28.35" customHeight="1" thickBot="1" x14ac:dyDescent="0.25">
      <c r="C16" s="29" t="s">
        <v>9</v>
      </c>
      <c r="D16" s="121">
        <f>'2'!C24</f>
        <v>118</v>
      </c>
      <c r="E16" s="121">
        <v>0</v>
      </c>
      <c r="F16" s="23">
        <f t="shared" si="0"/>
        <v>0</v>
      </c>
    </row>
    <row r="17" spans="1:6" s="93" customFormat="1" ht="28.35" customHeight="1" thickBot="1" x14ac:dyDescent="0.25">
      <c r="C17" s="29" t="s">
        <v>11</v>
      </c>
      <c r="D17" s="121">
        <f>SUM(D12:D16)</f>
        <v>662</v>
      </c>
      <c r="E17" s="121">
        <f>SUM(E12:E16)</f>
        <v>11</v>
      </c>
      <c r="F17" s="23">
        <f t="shared" si="0"/>
        <v>1.6616314199395771E-2</v>
      </c>
    </row>
    <row r="18" spans="1:6" ht="15.75" x14ac:dyDescent="0.25">
      <c r="A18" s="2"/>
    </row>
    <row r="19" spans="1:6" ht="15.75" x14ac:dyDescent="0.25">
      <c r="A19" s="3"/>
    </row>
    <row r="20" spans="1:6" ht="15.75" x14ac:dyDescent="0.25">
      <c r="A20" s="1"/>
    </row>
    <row r="22" spans="1:6" ht="15.75" x14ac:dyDescent="0.25">
      <c r="A22" s="1"/>
    </row>
    <row r="23" spans="1:6" ht="15.75" x14ac:dyDescent="0.25">
      <c r="A23" s="1"/>
    </row>
    <row r="37" spans="1:9" ht="15.75" customHeight="1" x14ac:dyDescent="0.2">
      <c r="A37" s="76"/>
      <c r="B37" s="76"/>
      <c r="C37" s="76"/>
      <c r="D37" s="76"/>
      <c r="E37" s="76"/>
      <c r="F37" s="76"/>
      <c r="G37" s="76"/>
      <c r="H37" s="76"/>
      <c r="I37" s="76"/>
    </row>
    <row r="38" spans="1:9" ht="21" customHeight="1" x14ac:dyDescent="0.2">
      <c r="A38" s="76"/>
      <c r="B38" s="76"/>
      <c r="C38" s="76"/>
      <c r="D38" s="76"/>
      <c r="E38" s="76"/>
      <c r="F38" s="76"/>
      <c r="G38" s="76"/>
      <c r="H38" s="76"/>
      <c r="I38" s="76"/>
    </row>
    <row r="39" spans="1:9" ht="15.75" customHeight="1" x14ac:dyDescent="0.2">
      <c r="A39" s="76"/>
      <c r="B39" s="76"/>
      <c r="C39" s="76"/>
      <c r="D39" s="76"/>
      <c r="E39" s="76"/>
      <c r="F39" s="76"/>
      <c r="G39" s="76"/>
      <c r="H39" s="76"/>
      <c r="I39" s="76"/>
    </row>
    <row r="40" spans="1:9" ht="15.75" customHeight="1" x14ac:dyDescent="0.2">
      <c r="A40" s="76"/>
      <c r="B40" s="76"/>
      <c r="C40" s="76"/>
      <c r="D40" s="76"/>
      <c r="E40" s="76"/>
      <c r="F40" s="76"/>
      <c r="G40" s="76"/>
      <c r="H40" s="76"/>
      <c r="I40" s="76"/>
    </row>
    <row r="41" spans="1:9" ht="12.75" customHeight="1" x14ac:dyDescent="0.2">
      <c r="A41" s="76"/>
      <c r="B41" s="76"/>
      <c r="C41" s="76"/>
      <c r="D41" s="76"/>
      <c r="E41" s="76"/>
      <c r="F41" s="76"/>
      <c r="G41" s="76"/>
      <c r="H41" s="76"/>
      <c r="I41" s="76"/>
    </row>
    <row r="43" spans="1:9" ht="12.75" customHeight="1" x14ac:dyDescent="0.2">
      <c r="A43" s="76"/>
      <c r="B43" s="76"/>
      <c r="C43" s="76"/>
      <c r="D43" s="76"/>
      <c r="E43" s="76"/>
      <c r="F43" s="76"/>
      <c r="G43" s="76"/>
      <c r="H43" s="76"/>
      <c r="I43" s="76"/>
    </row>
    <row r="44" spans="1:9" ht="12.75" customHeight="1" x14ac:dyDescent="0.2">
      <c r="A44" s="76"/>
      <c r="B44" s="76"/>
      <c r="C44" s="76"/>
      <c r="D44" s="76"/>
      <c r="E44" s="76"/>
      <c r="F44" s="76"/>
      <c r="G44" s="76"/>
      <c r="H44" s="76"/>
      <c r="I44" s="76"/>
    </row>
    <row r="45" spans="1:9" ht="12.75" customHeight="1" x14ac:dyDescent="0.2">
      <c r="A45" s="76"/>
      <c r="B45" s="76"/>
      <c r="C45" s="76"/>
      <c r="D45" s="76"/>
      <c r="E45" s="76"/>
      <c r="F45" s="76"/>
      <c r="G45" s="76"/>
      <c r="H45" s="76"/>
      <c r="I45" s="76"/>
    </row>
    <row r="46" spans="1:9" ht="12.75" customHeight="1" x14ac:dyDescent="0.2">
      <c r="A46" s="76"/>
      <c r="B46" s="76"/>
      <c r="C46" s="76"/>
      <c r="D46" s="76"/>
      <c r="E46" s="76"/>
      <c r="F46" s="76"/>
      <c r="G46" s="76"/>
      <c r="H46" s="76"/>
      <c r="I46" s="76"/>
    </row>
    <row r="47" spans="1:9" ht="12.75" customHeight="1" x14ac:dyDescent="0.2">
      <c r="A47" s="76"/>
      <c r="B47" s="76"/>
      <c r="C47" s="76"/>
      <c r="D47" s="76"/>
      <c r="E47" s="76"/>
      <c r="F47" s="76"/>
      <c r="G47" s="76"/>
      <c r="H47" s="76"/>
      <c r="I47" s="76"/>
    </row>
    <row r="61" spans="10:10" x14ac:dyDescent="0.2">
      <c r="J61">
        <v>20</v>
      </c>
    </row>
  </sheetData>
  <phoneticPr fontId="6" type="noConversion"/>
  <pageMargins left="0.78740157499999996" right="0.78740157499999996" top="0.98425196850393704" bottom="0.98425196850393704" header="0" footer="0"/>
  <pageSetup paperSize="9" scale="71" orientation="portrait" horizontalDpi="300" verticalDpi="300"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indexed="11"/>
  </sheetPr>
  <dimension ref="A1:K146"/>
  <sheetViews>
    <sheetView view="pageLayout" zoomScaleNormal="100" zoomScaleSheetLayoutView="100" workbookViewId="0">
      <selection activeCell="A3" sqref="A3"/>
    </sheetView>
  </sheetViews>
  <sheetFormatPr defaultRowHeight="12.75" x14ac:dyDescent="0.2"/>
  <cols>
    <col min="1" max="1" width="9.140625" customWidth="1"/>
    <col min="2" max="2" width="8.140625" customWidth="1"/>
    <col min="3" max="3" width="10" customWidth="1"/>
    <col min="4" max="5" width="12.42578125" customWidth="1"/>
    <col min="6" max="6" width="9.7109375" customWidth="1"/>
    <col min="7" max="7" width="12.5703125" customWidth="1"/>
    <col min="8" max="8" width="12.42578125" customWidth="1"/>
    <col min="9" max="9" width="8.28515625" customWidth="1"/>
    <col min="10" max="10" width="12.5703125" customWidth="1"/>
    <col min="11" max="11" width="12.7109375" customWidth="1"/>
  </cols>
  <sheetData>
    <row r="1" spans="1:11" ht="15.75" x14ac:dyDescent="0.25">
      <c r="A1" s="218" t="s">
        <v>219</v>
      </c>
      <c r="B1" s="218"/>
      <c r="C1" s="218"/>
      <c r="D1" s="218"/>
      <c r="E1" s="218"/>
      <c r="F1" s="218"/>
      <c r="G1" s="218"/>
      <c r="H1" s="218"/>
    </row>
    <row r="6" spans="1:11" ht="15.75" customHeight="1" x14ac:dyDescent="0.2"/>
    <row r="7" spans="1:11" ht="15.75" customHeight="1" x14ac:dyDescent="0.2"/>
    <row r="8" spans="1:11" ht="0.75" customHeight="1" x14ac:dyDescent="0.2"/>
    <row r="14" spans="1:11" s="19" customFormat="1" x14ac:dyDescent="0.2"/>
    <row r="15" spans="1:11" ht="15.75" x14ac:dyDescent="0.2">
      <c r="A15" s="144"/>
      <c r="B15" s="144"/>
      <c r="C15" s="144"/>
      <c r="D15" s="144"/>
      <c r="E15" s="144"/>
      <c r="F15" s="144"/>
      <c r="G15" s="144"/>
      <c r="H15" s="144"/>
      <c r="I15" s="144"/>
      <c r="J15" s="144"/>
      <c r="K15" s="145"/>
    </row>
    <row r="16" spans="1:11" ht="15.75" x14ac:dyDescent="0.2">
      <c r="A16" s="144"/>
      <c r="B16" s="144"/>
      <c r="C16" s="144"/>
      <c r="D16" s="144"/>
      <c r="E16" s="144"/>
      <c r="F16" s="144"/>
      <c r="G16" s="144"/>
      <c r="H16" s="144"/>
      <c r="I16" s="144"/>
      <c r="J16" s="144"/>
      <c r="K16" s="145"/>
    </row>
    <row r="17" spans="1:11" ht="15.75" x14ac:dyDescent="0.25">
      <c r="A17" s="3" t="s">
        <v>127</v>
      </c>
    </row>
    <row r="18" spans="1:11" ht="16.5" thickBot="1" x14ac:dyDescent="0.3">
      <c r="A18" s="1"/>
    </row>
    <row r="19" spans="1:11" ht="16.5" thickBot="1" x14ac:dyDescent="0.25">
      <c r="A19" s="12"/>
      <c r="B19" s="11"/>
      <c r="C19" s="228" t="s">
        <v>53</v>
      </c>
      <c r="D19" s="229"/>
      <c r="E19" s="252"/>
      <c r="F19" s="253" t="s">
        <v>54</v>
      </c>
      <c r="G19" s="229"/>
      <c r="H19" s="252"/>
      <c r="I19" s="253" t="s">
        <v>185</v>
      </c>
      <c r="J19" s="229"/>
      <c r="K19" s="230"/>
    </row>
    <row r="20" spans="1:11" ht="12.75" customHeight="1" x14ac:dyDescent="0.2">
      <c r="A20" s="255" t="s">
        <v>47</v>
      </c>
      <c r="B20" s="245" t="s">
        <v>46</v>
      </c>
      <c r="C20" s="249" t="s">
        <v>55</v>
      </c>
      <c r="D20" s="211" t="s">
        <v>186</v>
      </c>
      <c r="E20" s="255" t="s">
        <v>187</v>
      </c>
      <c r="F20" s="249" t="s">
        <v>55</v>
      </c>
      <c r="G20" s="211" t="s">
        <v>186</v>
      </c>
      <c r="H20" s="255" t="s">
        <v>187</v>
      </c>
      <c r="I20" s="249" t="s">
        <v>55</v>
      </c>
      <c r="J20" s="211" t="s">
        <v>186</v>
      </c>
      <c r="K20" s="211" t="s">
        <v>187</v>
      </c>
    </row>
    <row r="21" spans="1:11" ht="12.75" customHeight="1" x14ac:dyDescent="0.2">
      <c r="A21" s="256"/>
      <c r="B21" s="246"/>
      <c r="C21" s="250"/>
      <c r="D21" s="254"/>
      <c r="E21" s="256"/>
      <c r="F21" s="250"/>
      <c r="G21" s="254"/>
      <c r="H21" s="256"/>
      <c r="I21" s="250"/>
      <c r="J21" s="254"/>
      <c r="K21" s="254"/>
    </row>
    <row r="22" spans="1:11" ht="12.75" customHeight="1" x14ac:dyDescent="0.2">
      <c r="A22" s="256"/>
      <c r="B22" s="246"/>
      <c r="C22" s="250"/>
      <c r="D22" s="254"/>
      <c r="E22" s="256"/>
      <c r="F22" s="250"/>
      <c r="G22" s="254"/>
      <c r="H22" s="256"/>
      <c r="I22" s="250"/>
      <c r="J22" s="254"/>
      <c r="K22" s="254"/>
    </row>
    <row r="23" spans="1:11" ht="31.5" customHeight="1" thickBot="1" x14ac:dyDescent="0.25">
      <c r="A23" s="257"/>
      <c r="B23" s="247"/>
      <c r="C23" s="251"/>
      <c r="D23" s="212"/>
      <c r="E23" s="257"/>
      <c r="F23" s="251"/>
      <c r="G23" s="212"/>
      <c r="H23" s="257"/>
      <c r="I23" s="251"/>
      <c r="J23" s="212"/>
      <c r="K23" s="212"/>
    </row>
    <row r="24" spans="1:11" s="93" customFormat="1" ht="28.35" customHeight="1" thickBot="1" x14ac:dyDescent="0.25">
      <c r="A24" s="125" t="s">
        <v>5</v>
      </c>
      <c r="B24" s="146">
        <f>'2'!D20</f>
        <v>135</v>
      </c>
      <c r="C24" s="147">
        <f>4+13+3+5+4</f>
        <v>29</v>
      </c>
      <c r="D24" s="147">
        <f>3+6+2+1+4</f>
        <v>16</v>
      </c>
      <c r="E24" s="148">
        <f t="shared" ref="E24:E29" si="0">D24/C24</f>
        <v>0.55172413793103448</v>
      </c>
      <c r="F24" s="147">
        <f>7+6+6+7+4</f>
        <v>30</v>
      </c>
      <c r="G24" s="147">
        <f>5+2+5+3</f>
        <v>15</v>
      </c>
      <c r="H24" s="148">
        <f t="shared" ref="H24:H29" si="1">G24/F24</f>
        <v>0.5</v>
      </c>
      <c r="I24" s="147">
        <f>4+2+8+3</f>
        <v>17</v>
      </c>
      <c r="J24" s="147">
        <f>3+2+4</f>
        <v>9</v>
      </c>
      <c r="K24" s="149">
        <f t="shared" ref="K24:K29" si="2">J24/I24</f>
        <v>0.52941176470588236</v>
      </c>
    </row>
    <row r="25" spans="1:11" s="93" customFormat="1" ht="28.35" customHeight="1" thickBot="1" x14ac:dyDescent="0.25">
      <c r="A25" s="125" t="s">
        <v>6</v>
      </c>
      <c r="B25" s="146">
        <f>'2'!D21</f>
        <v>127</v>
      </c>
      <c r="C25" s="147">
        <f>3+7+2+7+5+7</f>
        <v>31</v>
      </c>
      <c r="D25" s="147">
        <f>1+3+1+3+4+2</f>
        <v>14</v>
      </c>
      <c r="E25" s="148">
        <f t="shared" si="0"/>
        <v>0.45161290322580644</v>
      </c>
      <c r="F25" s="147">
        <f>7+5+8+7+7+8</f>
        <v>42</v>
      </c>
      <c r="G25" s="147">
        <f>5+1+4+4+3+3</f>
        <v>20</v>
      </c>
      <c r="H25" s="148">
        <f t="shared" si="1"/>
        <v>0.47619047619047616</v>
      </c>
      <c r="I25" s="147">
        <f>4+1+3</f>
        <v>8</v>
      </c>
      <c r="J25" s="147">
        <f>1+1+1</f>
        <v>3</v>
      </c>
      <c r="K25" s="149">
        <f t="shared" si="2"/>
        <v>0.375</v>
      </c>
    </row>
    <row r="26" spans="1:11" s="93" customFormat="1" ht="28.35" customHeight="1" thickBot="1" x14ac:dyDescent="0.25">
      <c r="A26" s="125" t="s">
        <v>7</v>
      </c>
      <c r="B26" s="146">
        <f>'2'!C22</f>
        <v>162</v>
      </c>
      <c r="C26" s="147">
        <f>3+5+7+7+6</f>
        <v>28</v>
      </c>
      <c r="D26" s="147">
        <f>2+3+4+5+2</f>
        <v>16</v>
      </c>
      <c r="E26" s="148">
        <f t="shared" si="0"/>
        <v>0.5714285714285714</v>
      </c>
      <c r="F26" s="147">
        <f>6+8+3+7+6+6+5+11</f>
        <v>52</v>
      </c>
      <c r="G26" s="147">
        <f>4+3+4+3+2+4+4</f>
        <v>24</v>
      </c>
      <c r="H26" s="148">
        <f t="shared" si="1"/>
        <v>0.46153846153846156</v>
      </c>
      <c r="I26" s="147">
        <f>8+12+5</f>
        <v>25</v>
      </c>
      <c r="J26" s="147">
        <f>10</f>
        <v>10</v>
      </c>
      <c r="K26" s="149">
        <f t="shared" si="2"/>
        <v>0.4</v>
      </c>
    </row>
    <row r="27" spans="1:11" s="93" customFormat="1" ht="28.35" customHeight="1" thickBot="1" x14ac:dyDescent="0.25">
      <c r="A27" s="125" t="s">
        <v>8</v>
      </c>
      <c r="B27" s="146">
        <f>'2'!C23</f>
        <v>120</v>
      </c>
      <c r="C27" s="147">
        <f>4+8+4+8+4</f>
        <v>28</v>
      </c>
      <c r="D27" s="147">
        <f>2+1+4</f>
        <v>7</v>
      </c>
      <c r="E27" s="148">
        <f t="shared" si="0"/>
        <v>0.25</v>
      </c>
      <c r="F27" s="147">
        <f>8+5+5+3+7</f>
        <v>28</v>
      </c>
      <c r="G27" s="147">
        <f>5+3+2+2+4</f>
        <v>16</v>
      </c>
      <c r="H27" s="148">
        <f t="shared" si="1"/>
        <v>0.5714285714285714</v>
      </c>
      <c r="I27" s="147">
        <f>8</f>
        <v>8</v>
      </c>
      <c r="J27" s="147">
        <v>3</v>
      </c>
      <c r="K27" s="149">
        <f t="shared" si="2"/>
        <v>0.375</v>
      </c>
    </row>
    <row r="28" spans="1:11" s="93" customFormat="1" ht="28.35" customHeight="1" thickBot="1" x14ac:dyDescent="0.25">
      <c r="A28" s="183" t="s">
        <v>9</v>
      </c>
      <c r="B28" s="146">
        <f>'[1]2 - PROG-RET ALUNOS'!C12</f>
        <v>118</v>
      </c>
      <c r="C28" s="147">
        <f>1+9+3+6</f>
        <v>19</v>
      </c>
      <c r="D28" s="147">
        <v>16</v>
      </c>
      <c r="E28" s="148">
        <f>D28/C28</f>
        <v>0.84210526315789469</v>
      </c>
      <c r="F28" s="147">
        <f>8+2+10</f>
        <v>20</v>
      </c>
      <c r="G28" s="147">
        <v>6</v>
      </c>
      <c r="H28" s="148">
        <f>G28/F28</f>
        <v>0.3</v>
      </c>
      <c r="I28" s="147">
        <v>13</v>
      </c>
      <c r="J28" s="147">
        <v>9</v>
      </c>
      <c r="K28" s="149">
        <f>J28/I28</f>
        <v>0.69230769230769229</v>
      </c>
    </row>
    <row r="29" spans="1:11" s="93" customFormat="1" ht="28.35" customHeight="1" thickBot="1" x14ac:dyDescent="0.25">
      <c r="A29" s="125" t="s">
        <v>11</v>
      </c>
      <c r="B29" s="146">
        <f>SUM(B24:B28)</f>
        <v>662</v>
      </c>
      <c r="C29" s="147">
        <f>SUM(C24:C28)</f>
        <v>135</v>
      </c>
      <c r="D29" s="147">
        <f>SUM(D24:D28)</f>
        <v>69</v>
      </c>
      <c r="E29" s="148">
        <f t="shared" si="0"/>
        <v>0.51111111111111107</v>
      </c>
      <c r="F29" s="147">
        <f>SUM(F24:F28)</f>
        <v>172</v>
      </c>
      <c r="G29" s="147">
        <f>SUM(G24:G28)</f>
        <v>81</v>
      </c>
      <c r="H29" s="148">
        <f t="shared" si="1"/>
        <v>0.47093023255813954</v>
      </c>
      <c r="I29" s="147">
        <f>SUM(I24:I28)</f>
        <v>71</v>
      </c>
      <c r="J29" s="147">
        <f>SUM(J24:J28)</f>
        <v>34</v>
      </c>
      <c r="K29" s="149">
        <f t="shared" si="2"/>
        <v>0.47887323943661969</v>
      </c>
    </row>
    <row r="56" spans="9:11" ht="15.75" customHeight="1" x14ac:dyDescent="0.2">
      <c r="I56" s="84"/>
      <c r="J56" s="84"/>
      <c r="K56" s="84"/>
    </row>
    <row r="57" spans="9:11" ht="12.75" customHeight="1" x14ac:dyDescent="0.2">
      <c r="I57" s="84"/>
      <c r="J57" s="84"/>
      <c r="K57" s="84"/>
    </row>
    <row r="58" spans="9:11" ht="12.75" customHeight="1" x14ac:dyDescent="0.2">
      <c r="I58" s="84"/>
      <c r="J58" s="84"/>
      <c r="K58" s="84"/>
    </row>
    <row r="59" spans="9:11" ht="12.75" customHeight="1" x14ac:dyDescent="0.2">
      <c r="I59" s="84"/>
      <c r="J59" s="84"/>
      <c r="K59" s="84"/>
    </row>
    <row r="60" spans="9:11" ht="12.75" customHeight="1" x14ac:dyDescent="0.2">
      <c r="I60" s="84"/>
      <c r="J60" s="84"/>
      <c r="K60" s="84"/>
    </row>
    <row r="61" spans="9:11" ht="12.75" customHeight="1" x14ac:dyDescent="0.2">
      <c r="I61" s="84"/>
      <c r="J61" s="84"/>
      <c r="K61" s="84"/>
    </row>
    <row r="62" spans="9:11" ht="12.75" customHeight="1" x14ac:dyDescent="0.2">
      <c r="I62" s="84"/>
      <c r="J62" s="84"/>
      <c r="K62" s="84"/>
    </row>
    <row r="63" spans="9:11" ht="12.75" customHeight="1" x14ac:dyDescent="0.2">
      <c r="I63" s="84"/>
      <c r="J63" s="84"/>
      <c r="K63" s="84"/>
    </row>
    <row r="64" spans="9:11" ht="12.75" customHeight="1" x14ac:dyDescent="0.2">
      <c r="I64" s="84"/>
      <c r="J64" s="84"/>
      <c r="K64" s="84"/>
    </row>
    <row r="65" spans="1:11" ht="12.75" customHeight="1" x14ac:dyDescent="0.2">
      <c r="I65" s="84"/>
      <c r="J65" s="84"/>
      <c r="K65" s="84"/>
    </row>
    <row r="66" spans="1:11" ht="12.75" customHeight="1" x14ac:dyDescent="0.2">
      <c r="I66" s="84"/>
      <c r="J66" s="84"/>
      <c r="K66" s="84"/>
    </row>
    <row r="67" spans="1:11" ht="12.75" customHeight="1" x14ac:dyDescent="0.2">
      <c r="I67" s="84"/>
      <c r="J67" s="84"/>
      <c r="K67" s="84"/>
    </row>
    <row r="68" spans="1:11" ht="12.75" customHeight="1" x14ac:dyDescent="0.2">
      <c r="I68" s="84"/>
      <c r="J68" s="84"/>
      <c r="K68" s="84"/>
    </row>
    <row r="69" spans="1:11" ht="12.75" customHeight="1" x14ac:dyDescent="0.2">
      <c r="I69" s="84"/>
      <c r="J69" s="84"/>
      <c r="K69" s="84"/>
    </row>
    <row r="70" spans="1:11" ht="12.75" customHeight="1" x14ac:dyDescent="0.2">
      <c r="I70" s="84"/>
      <c r="J70" s="187"/>
      <c r="K70" s="187">
        <v>21</v>
      </c>
    </row>
    <row r="71" spans="1:11" ht="22.5" customHeight="1" x14ac:dyDescent="0.25">
      <c r="A71" s="248" t="s">
        <v>212</v>
      </c>
      <c r="B71" s="248"/>
      <c r="C71" s="248"/>
      <c r="D71" s="248"/>
      <c r="E71" s="248"/>
      <c r="F71" s="248"/>
      <c r="G71" s="248"/>
      <c r="H71" s="248"/>
      <c r="I71" s="248"/>
      <c r="J71" s="248"/>
      <c r="K71" s="248"/>
    </row>
    <row r="72" spans="1:11" ht="12.75" customHeight="1" x14ac:dyDescent="0.2">
      <c r="I72" s="84"/>
      <c r="J72" s="84"/>
      <c r="K72" s="84"/>
    </row>
    <row r="73" spans="1:11" ht="12.75" customHeight="1" x14ac:dyDescent="0.2">
      <c r="I73" s="84"/>
      <c r="J73" s="84"/>
      <c r="K73" s="84"/>
    </row>
    <row r="74" spans="1:11" ht="12.75" customHeight="1" x14ac:dyDescent="0.2">
      <c r="I74" s="84"/>
      <c r="J74" s="84"/>
      <c r="K74" s="178"/>
    </row>
    <row r="76" spans="1:11" ht="12.75" customHeight="1" x14ac:dyDescent="0.2">
      <c r="I76" s="84"/>
      <c r="J76" s="84"/>
      <c r="K76" s="84"/>
    </row>
    <row r="77" spans="1:11" ht="12.75" customHeight="1" x14ac:dyDescent="0.2">
      <c r="I77" s="84"/>
      <c r="J77" s="84"/>
      <c r="K77" s="84"/>
    </row>
    <row r="78" spans="1:11" ht="12.75" customHeight="1" x14ac:dyDescent="0.2">
      <c r="I78" s="84"/>
      <c r="J78" s="84"/>
      <c r="K78" s="84"/>
    </row>
    <row r="79" spans="1:11" ht="12.75" customHeight="1" x14ac:dyDescent="0.2">
      <c r="I79" s="84"/>
      <c r="J79" s="84"/>
      <c r="K79" s="84"/>
    </row>
    <row r="80" spans="1:11" ht="12.75" customHeight="1" x14ac:dyDescent="0.2">
      <c r="I80" s="84"/>
      <c r="J80" s="84"/>
      <c r="K80" s="84"/>
    </row>
    <row r="81" spans="1:11" ht="12.75" customHeight="1" x14ac:dyDescent="0.2">
      <c r="I81" s="84"/>
      <c r="J81" s="84"/>
      <c r="K81" s="84"/>
    </row>
    <row r="82" spans="1:11" ht="12.75" customHeight="1" x14ac:dyDescent="0.2">
      <c r="I82" s="84"/>
      <c r="J82" s="84"/>
      <c r="K82" s="84"/>
    </row>
    <row r="83" spans="1:11" ht="12.75" customHeight="1" x14ac:dyDescent="0.2">
      <c r="I83" s="84"/>
      <c r="J83" s="84"/>
      <c r="K83" s="84"/>
    </row>
    <row r="84" spans="1:11" ht="12.75" customHeight="1" x14ac:dyDescent="0.2">
      <c r="I84" s="84"/>
      <c r="J84" s="84"/>
      <c r="K84" s="84"/>
    </row>
    <row r="85" spans="1:11" ht="12.75" customHeight="1" x14ac:dyDescent="0.2">
      <c r="I85" s="84"/>
      <c r="J85" s="84"/>
      <c r="K85" s="84"/>
    </row>
    <row r="86" spans="1:11" ht="12.75" customHeight="1" x14ac:dyDescent="0.2">
      <c r="I86" s="84"/>
      <c r="J86" s="84"/>
      <c r="K86" s="84"/>
    </row>
    <row r="87" spans="1:11" ht="12.75" customHeight="1" x14ac:dyDescent="0.2">
      <c r="I87" s="84"/>
      <c r="J87" s="84"/>
      <c r="K87" s="84"/>
    </row>
    <row r="88" spans="1:11" ht="12.75" customHeight="1" x14ac:dyDescent="0.2">
      <c r="I88" s="84"/>
      <c r="J88" s="84"/>
      <c r="K88" s="84"/>
    </row>
    <row r="89" spans="1:11" ht="12.75" customHeight="1" x14ac:dyDescent="0.2">
      <c r="I89" s="84"/>
      <c r="J89" s="84"/>
      <c r="K89" s="84"/>
    </row>
    <row r="90" spans="1:11" ht="12.75" customHeight="1" x14ac:dyDescent="0.2">
      <c r="I90" s="84"/>
      <c r="J90" s="84"/>
      <c r="K90" s="84"/>
    </row>
    <row r="91" spans="1:11" ht="12.75" customHeight="1" x14ac:dyDescent="0.2">
      <c r="I91" s="84"/>
      <c r="J91" s="84"/>
      <c r="K91" s="84"/>
    </row>
    <row r="92" spans="1:11" ht="12.75" customHeight="1" x14ac:dyDescent="0.2">
      <c r="I92" s="84"/>
      <c r="J92" s="84"/>
      <c r="K92" s="84"/>
    </row>
    <row r="93" spans="1:11" ht="12.75" customHeight="1" x14ac:dyDescent="0.2">
      <c r="I93" s="84"/>
      <c r="J93" s="84"/>
      <c r="K93" s="84"/>
    </row>
    <row r="94" spans="1:11" ht="12.75" customHeight="1" x14ac:dyDescent="0.2">
      <c r="I94" s="84"/>
      <c r="J94" s="84"/>
      <c r="K94" s="84"/>
    </row>
    <row r="95" spans="1:11" ht="15.75" customHeight="1" x14ac:dyDescent="0.25">
      <c r="A95" s="3"/>
      <c r="I95" s="84"/>
      <c r="J95" s="84"/>
      <c r="K95" s="84"/>
    </row>
    <row r="96" spans="1:11" ht="12.75" customHeight="1" x14ac:dyDescent="0.2">
      <c r="I96" s="84"/>
      <c r="J96" s="84"/>
      <c r="K96" s="84"/>
    </row>
    <row r="97" spans="9:11" ht="12.75" customHeight="1" x14ac:dyDescent="0.2">
      <c r="I97" s="84"/>
      <c r="J97" s="84"/>
      <c r="K97" s="84"/>
    </row>
    <row r="98" spans="9:11" ht="12.75" customHeight="1" x14ac:dyDescent="0.2">
      <c r="I98" s="84"/>
      <c r="J98" s="84"/>
      <c r="K98" s="84"/>
    </row>
    <row r="99" spans="9:11" ht="12.75" customHeight="1" x14ac:dyDescent="0.2">
      <c r="I99" s="84"/>
      <c r="J99" s="84"/>
      <c r="K99" s="84"/>
    </row>
    <row r="100" spans="9:11" ht="12.75" customHeight="1" x14ac:dyDescent="0.2">
      <c r="I100" s="84"/>
      <c r="J100" s="84"/>
      <c r="K100" s="84"/>
    </row>
    <row r="101" spans="9:11" ht="12.75" customHeight="1" x14ac:dyDescent="0.2">
      <c r="I101" s="67"/>
      <c r="J101" s="67"/>
      <c r="K101" s="67"/>
    </row>
    <row r="102" spans="9:11" ht="15.75" x14ac:dyDescent="0.2">
      <c r="K102" s="67"/>
    </row>
    <row r="103" spans="9:11" ht="15.75" x14ac:dyDescent="0.2">
      <c r="K103" s="67"/>
    </row>
    <row r="104" spans="9:11" ht="15.75" x14ac:dyDescent="0.2">
      <c r="K104" s="67"/>
    </row>
    <row r="105" spans="9:11" ht="15.75" x14ac:dyDescent="0.2">
      <c r="K105" s="67"/>
    </row>
    <row r="106" spans="9:11" ht="15.75" x14ac:dyDescent="0.2">
      <c r="K106" s="67"/>
    </row>
    <row r="107" spans="9:11" ht="15.75" x14ac:dyDescent="0.2">
      <c r="K107" s="67"/>
    </row>
    <row r="108" spans="9:11" ht="15.75" x14ac:dyDescent="0.2">
      <c r="K108" s="67"/>
    </row>
    <row r="109" spans="9:11" ht="15.75" x14ac:dyDescent="0.2">
      <c r="K109" s="67"/>
    </row>
    <row r="110" spans="9:11" ht="15.75" x14ac:dyDescent="0.2">
      <c r="K110" s="67"/>
    </row>
    <row r="111" spans="9:11" ht="15.75" x14ac:dyDescent="0.2">
      <c r="K111" s="67"/>
    </row>
    <row r="112" spans="9:11" ht="15.75" x14ac:dyDescent="0.2">
      <c r="K112" s="67"/>
    </row>
    <row r="113" spans="11:11" ht="15.75" x14ac:dyDescent="0.2">
      <c r="K113" s="67"/>
    </row>
    <row r="114" spans="11:11" ht="15.75" x14ac:dyDescent="0.2">
      <c r="K114" s="67"/>
    </row>
    <row r="115" spans="11:11" ht="15.75" x14ac:dyDescent="0.2">
      <c r="K115" s="67"/>
    </row>
    <row r="116" spans="11:11" ht="15.75" x14ac:dyDescent="0.2">
      <c r="K116" s="67"/>
    </row>
    <row r="117" spans="11:11" ht="15.75" x14ac:dyDescent="0.2">
      <c r="K117" s="67"/>
    </row>
    <row r="118" spans="11:11" ht="15.75" x14ac:dyDescent="0.2">
      <c r="K118" s="67"/>
    </row>
    <row r="119" spans="11:11" ht="15.75" x14ac:dyDescent="0.2">
      <c r="K119" s="67"/>
    </row>
    <row r="146" spans="11:11" x14ac:dyDescent="0.2">
      <c r="K146">
        <v>22</v>
      </c>
    </row>
  </sheetData>
  <mergeCells count="16">
    <mergeCell ref="B20:B23"/>
    <mergeCell ref="A71:K71"/>
    <mergeCell ref="A1:H1"/>
    <mergeCell ref="C20:C23"/>
    <mergeCell ref="F20:F23"/>
    <mergeCell ref="I20:I23"/>
    <mergeCell ref="C19:E19"/>
    <mergeCell ref="F19:H19"/>
    <mergeCell ref="I19:K19"/>
    <mergeCell ref="D20:D23"/>
    <mergeCell ref="K20:K23"/>
    <mergeCell ref="E20:E23"/>
    <mergeCell ref="G20:G23"/>
    <mergeCell ref="H20:H23"/>
    <mergeCell ref="J20:J23"/>
    <mergeCell ref="A20:A23"/>
  </mergeCells>
  <phoneticPr fontId="6" type="noConversion"/>
  <pageMargins left="0.78740157499999996" right="0.78740157499999996" top="0.98425196850393704" bottom="0.98425196850393704" header="0" footer="0"/>
  <pageSetup paperSize="9" scale="70" orientation="portrait" horizontalDpi="300" verticalDpi="300"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L65"/>
  <sheetViews>
    <sheetView view="pageLayout" zoomScaleNormal="100" zoomScaleSheetLayoutView="100" workbookViewId="0">
      <selection activeCell="A12" sqref="A12:A16"/>
    </sheetView>
  </sheetViews>
  <sheetFormatPr defaultRowHeight="12.75" x14ac:dyDescent="0.2"/>
  <cols>
    <col min="6" max="6" width="10.28515625" customWidth="1"/>
    <col min="7" max="7" width="12.42578125" customWidth="1"/>
    <col min="8" max="8" width="14.5703125" customWidth="1"/>
  </cols>
  <sheetData>
    <row r="1" spans="1:8" ht="15.75" x14ac:dyDescent="0.25">
      <c r="A1" s="218" t="s">
        <v>220</v>
      </c>
      <c r="B1" s="218"/>
      <c r="C1" s="218"/>
      <c r="D1" s="218"/>
      <c r="E1" s="218"/>
      <c r="F1" s="218"/>
      <c r="G1" s="218"/>
      <c r="H1" s="218"/>
    </row>
    <row r="5" spans="1:8" ht="64.5" customHeight="1" x14ac:dyDescent="0.2"/>
    <row r="7" spans="1:8" ht="15.75" x14ac:dyDescent="0.25">
      <c r="A7" s="3" t="s">
        <v>129</v>
      </c>
    </row>
    <row r="8" spans="1:8" ht="13.5" thickBot="1" x14ac:dyDescent="0.25"/>
    <row r="9" spans="1:8" ht="39" thickBot="1" x14ac:dyDescent="0.25">
      <c r="D9" s="14" t="s">
        <v>2</v>
      </c>
      <c r="E9" s="15" t="s">
        <v>124</v>
      </c>
      <c r="F9" s="15" t="s">
        <v>126</v>
      </c>
      <c r="G9" s="15" t="s">
        <v>125</v>
      </c>
      <c r="H9" s="42" t="s">
        <v>164</v>
      </c>
    </row>
    <row r="10" spans="1:8" s="93" customFormat="1" ht="28.35" customHeight="1" thickBot="1" x14ac:dyDescent="0.25">
      <c r="D10" s="29" t="s">
        <v>5</v>
      </c>
      <c r="E10" s="121">
        <v>3</v>
      </c>
      <c r="F10" s="121">
        <v>3</v>
      </c>
      <c r="G10" s="151">
        <v>0</v>
      </c>
      <c r="H10" s="152">
        <f>G10/E10</f>
        <v>0</v>
      </c>
    </row>
    <row r="11" spans="1:8" s="93" customFormat="1" ht="28.35" customHeight="1" thickBot="1" x14ac:dyDescent="0.25">
      <c r="D11" s="29" t="s">
        <v>6</v>
      </c>
      <c r="E11" s="121">
        <v>8</v>
      </c>
      <c r="F11" s="121">
        <v>6</v>
      </c>
      <c r="G11" s="151">
        <v>2</v>
      </c>
      <c r="H11" s="152">
        <f t="shared" ref="H11:H14" si="0">G11/E11</f>
        <v>0.25</v>
      </c>
    </row>
    <row r="12" spans="1:8" s="93" customFormat="1" ht="28.35" customHeight="1" thickBot="1" x14ac:dyDescent="0.25">
      <c r="D12" s="29" t="s">
        <v>7</v>
      </c>
      <c r="E12" s="121">
        <v>2</v>
      </c>
      <c r="F12" s="121">
        <v>2</v>
      </c>
      <c r="G12" s="151">
        <v>0</v>
      </c>
      <c r="H12" s="152">
        <f t="shared" si="0"/>
        <v>0</v>
      </c>
    </row>
    <row r="13" spans="1:8" s="93" customFormat="1" ht="28.35" customHeight="1" thickBot="1" x14ac:dyDescent="0.25">
      <c r="D13" s="29" t="s">
        <v>8</v>
      </c>
      <c r="E13" s="121">
        <v>4</v>
      </c>
      <c r="F13" s="121">
        <v>4</v>
      </c>
      <c r="G13" s="151">
        <v>0</v>
      </c>
      <c r="H13" s="152">
        <f t="shared" si="0"/>
        <v>0</v>
      </c>
    </row>
    <row r="14" spans="1:8" s="93" customFormat="1" ht="28.35" customHeight="1" thickBot="1" x14ac:dyDescent="0.25">
      <c r="D14" s="29" t="s">
        <v>9</v>
      </c>
      <c r="E14" s="121">
        <v>3</v>
      </c>
      <c r="F14" s="121">
        <v>3</v>
      </c>
      <c r="G14" s="151">
        <v>0</v>
      </c>
      <c r="H14" s="152">
        <f t="shared" si="0"/>
        <v>0</v>
      </c>
    </row>
    <row r="15" spans="1:8" s="93" customFormat="1" ht="28.35" customHeight="1" thickBot="1" x14ac:dyDescent="0.25">
      <c r="D15" s="29" t="s">
        <v>11</v>
      </c>
      <c r="E15" s="121">
        <f>SUM(E10:E14)</f>
        <v>20</v>
      </c>
      <c r="F15" s="121">
        <f>SUM(F10:F14)</f>
        <v>18</v>
      </c>
      <c r="G15" s="151">
        <f>SUM(G10:G14)</f>
        <v>2</v>
      </c>
      <c r="H15" s="152">
        <f>G15/E15</f>
        <v>0.1</v>
      </c>
    </row>
    <row r="29" spans="1:11" ht="12.75" customHeight="1" x14ac:dyDescent="0.2">
      <c r="A29" s="150"/>
      <c r="B29" s="150"/>
      <c r="C29" s="150"/>
      <c r="D29" s="150"/>
      <c r="E29" s="150"/>
      <c r="F29" s="150"/>
      <c r="G29" s="150"/>
      <c r="H29" s="150"/>
      <c r="I29" s="150"/>
      <c r="J29" s="150"/>
      <c r="K29" s="150"/>
    </row>
    <row r="30" spans="1:11" ht="12.75" customHeight="1" x14ac:dyDescent="0.2">
      <c r="A30" s="150"/>
      <c r="B30" s="150"/>
      <c r="C30" s="150"/>
      <c r="D30" s="150"/>
      <c r="E30" s="150"/>
      <c r="F30" s="150"/>
      <c r="G30" s="150"/>
      <c r="H30" s="150"/>
      <c r="I30" s="150"/>
      <c r="J30" s="150"/>
      <c r="K30" s="150"/>
    </row>
    <row r="31" spans="1:11" ht="12.75" customHeight="1" x14ac:dyDescent="0.2">
      <c r="A31" s="150"/>
      <c r="B31" s="150"/>
      <c r="C31" s="150"/>
      <c r="D31" s="150"/>
      <c r="E31" s="150"/>
      <c r="F31" s="150"/>
      <c r="G31" s="150"/>
      <c r="H31" s="150"/>
      <c r="I31" s="150"/>
      <c r="J31" s="150"/>
      <c r="K31" s="150"/>
    </row>
    <row r="32" spans="1:11" ht="12.75" customHeight="1" x14ac:dyDescent="0.2">
      <c r="A32" s="150"/>
      <c r="B32" s="150"/>
      <c r="C32" s="150"/>
      <c r="D32" s="150"/>
      <c r="E32" s="150"/>
      <c r="F32" s="150"/>
      <c r="G32" s="150"/>
      <c r="H32" s="150"/>
      <c r="I32" s="150"/>
      <c r="J32" s="150"/>
      <c r="K32" s="150"/>
    </row>
    <row r="33" spans="1:11" ht="12.75" customHeight="1" x14ac:dyDescent="0.2">
      <c r="A33" s="150"/>
      <c r="B33" s="150"/>
      <c r="C33" s="150"/>
      <c r="D33" s="150"/>
      <c r="E33" s="150"/>
      <c r="F33" s="150"/>
      <c r="G33" s="150"/>
      <c r="H33" s="150"/>
      <c r="I33" s="150"/>
      <c r="J33" s="150"/>
      <c r="K33" s="150"/>
    </row>
    <row r="65" spans="12:12" x14ac:dyDescent="0.2">
      <c r="L65">
        <v>23</v>
      </c>
    </row>
  </sheetData>
  <mergeCells count="1">
    <mergeCell ref="A1:H1"/>
  </mergeCells>
  <phoneticPr fontId="6" type="noConversion"/>
  <pageMargins left="0.78740157499999996" right="0.78740157499999996"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enableFormatConditionsCalculation="0">
    <tabColor indexed="11"/>
  </sheetPr>
  <dimension ref="A1:Z88"/>
  <sheetViews>
    <sheetView view="pageLayout" zoomScaleNormal="100" zoomScaleSheetLayoutView="71" workbookViewId="0">
      <selection activeCell="G39" sqref="G39:H39"/>
    </sheetView>
  </sheetViews>
  <sheetFormatPr defaultRowHeight="12.75" x14ac:dyDescent="0.2"/>
  <cols>
    <col min="8" max="8" width="10.5703125" customWidth="1"/>
  </cols>
  <sheetData>
    <row r="1" spans="1:25" ht="15.75" x14ac:dyDescent="0.25">
      <c r="A1" s="1" t="s">
        <v>221</v>
      </c>
      <c r="N1" s="1" t="s">
        <v>222</v>
      </c>
    </row>
    <row r="2" spans="1:25" ht="15.75" x14ac:dyDescent="0.25">
      <c r="B2" s="2"/>
      <c r="O2" s="1"/>
    </row>
    <row r="3" spans="1:25" ht="15.75" x14ac:dyDescent="0.25">
      <c r="A3" s="1" t="s">
        <v>227</v>
      </c>
    </row>
    <row r="4" spans="1:25" ht="15.75" x14ac:dyDescent="0.25">
      <c r="B4" s="1"/>
    </row>
    <row r="8" spans="1:25" ht="15.75" customHeight="1" x14ac:dyDescent="0.2"/>
    <row r="10" spans="1:25" ht="28.35" customHeight="1" x14ac:dyDescent="0.2"/>
    <row r="11" spans="1:25" ht="28.35" customHeight="1" x14ac:dyDescent="0.2"/>
    <row r="13" spans="1:25" ht="15.75" x14ac:dyDescent="0.25">
      <c r="B13" s="3" t="s">
        <v>161</v>
      </c>
      <c r="N13" s="3" t="s">
        <v>243</v>
      </c>
    </row>
    <row r="14" spans="1:25" ht="16.5" thickBot="1" x14ac:dyDescent="0.3">
      <c r="B14" s="1"/>
      <c r="O14" s="1"/>
    </row>
    <row r="15" spans="1:25" x14ac:dyDescent="0.2">
      <c r="B15" s="263"/>
      <c r="C15" s="278"/>
      <c r="D15" s="279"/>
      <c r="E15" s="279"/>
      <c r="F15" s="279"/>
      <c r="G15" s="279"/>
      <c r="H15" s="279"/>
      <c r="I15" s="279"/>
      <c r="J15" s="279"/>
      <c r="K15" s="279"/>
      <c r="L15" s="280"/>
      <c r="M15" s="170"/>
      <c r="N15" s="189"/>
      <c r="O15" s="263"/>
      <c r="P15" s="278"/>
      <c r="Q15" s="279"/>
      <c r="R15" s="279"/>
      <c r="S15" s="279"/>
      <c r="T15" s="279"/>
      <c r="U15" s="279"/>
      <c r="V15" s="279"/>
      <c r="W15" s="279"/>
      <c r="X15" s="279"/>
      <c r="Y15" s="280"/>
    </row>
    <row r="16" spans="1:25" ht="15.75" x14ac:dyDescent="0.2">
      <c r="B16" s="263"/>
      <c r="C16" s="261" t="s">
        <v>57</v>
      </c>
      <c r="D16" s="284"/>
      <c r="E16" s="284"/>
      <c r="F16" s="284"/>
      <c r="G16" s="284"/>
      <c r="H16" s="284"/>
      <c r="I16" s="284"/>
      <c r="J16" s="284"/>
      <c r="K16" s="284"/>
      <c r="L16" s="233"/>
      <c r="M16" s="156"/>
      <c r="N16" s="184"/>
      <c r="O16" s="263"/>
      <c r="P16" s="261" t="s">
        <v>57</v>
      </c>
      <c r="Q16" s="284"/>
      <c r="R16" s="284"/>
      <c r="S16" s="284"/>
      <c r="T16" s="284"/>
      <c r="U16" s="284"/>
      <c r="V16" s="284"/>
      <c r="W16" s="284"/>
      <c r="X16" s="284"/>
      <c r="Y16" s="233"/>
    </row>
    <row r="17" spans="2:26" ht="13.5" thickBot="1" x14ac:dyDescent="0.25">
      <c r="B17" s="263"/>
      <c r="C17" s="258"/>
      <c r="D17" s="259"/>
      <c r="E17" s="259"/>
      <c r="F17" s="259"/>
      <c r="G17" s="259"/>
      <c r="H17" s="259"/>
      <c r="I17" s="259"/>
      <c r="J17" s="259"/>
      <c r="K17" s="259"/>
      <c r="L17" s="260"/>
      <c r="M17" s="170"/>
      <c r="N17" s="189"/>
      <c r="O17" s="263"/>
      <c r="P17" s="258"/>
      <c r="Q17" s="259"/>
      <c r="R17" s="259"/>
      <c r="S17" s="259"/>
      <c r="T17" s="259"/>
      <c r="U17" s="259"/>
      <c r="V17" s="259"/>
      <c r="W17" s="259"/>
      <c r="X17" s="259"/>
      <c r="Y17" s="260"/>
    </row>
    <row r="18" spans="2:26" ht="16.5" thickBot="1" x14ac:dyDescent="0.25">
      <c r="B18" s="5"/>
      <c r="C18" s="273" t="s">
        <v>58</v>
      </c>
      <c r="D18" s="271"/>
      <c r="E18" s="271"/>
      <c r="F18" s="271"/>
      <c r="G18" s="274"/>
      <c r="H18" s="270" t="s">
        <v>59</v>
      </c>
      <c r="I18" s="271"/>
      <c r="J18" s="271"/>
      <c r="K18" s="271"/>
      <c r="L18" s="272"/>
      <c r="M18" s="171"/>
      <c r="N18" s="190"/>
      <c r="O18" s="5"/>
      <c r="P18" s="273" t="s">
        <v>58</v>
      </c>
      <c r="Q18" s="271"/>
      <c r="R18" s="271"/>
      <c r="S18" s="271"/>
      <c r="T18" s="274"/>
      <c r="U18" s="270" t="s">
        <v>66</v>
      </c>
      <c r="V18" s="271"/>
      <c r="W18" s="271"/>
      <c r="X18" s="271"/>
      <c r="Y18" s="272"/>
    </row>
    <row r="19" spans="2:26" ht="18.75" customHeight="1" x14ac:dyDescent="0.2">
      <c r="B19" s="197" t="s">
        <v>2</v>
      </c>
      <c r="C19" s="197" t="s">
        <v>226</v>
      </c>
      <c r="D19" s="264" t="s">
        <v>60</v>
      </c>
      <c r="E19" s="264" t="s">
        <v>61</v>
      </c>
      <c r="F19" s="264" t="s">
        <v>62</v>
      </c>
      <c r="G19" s="267" t="s">
        <v>63</v>
      </c>
      <c r="H19" s="275" t="s">
        <v>195</v>
      </c>
      <c r="I19" s="264" t="s">
        <v>60</v>
      </c>
      <c r="J19" s="264" t="s">
        <v>61</v>
      </c>
      <c r="K19" s="264" t="s">
        <v>62</v>
      </c>
      <c r="L19" s="264" t="s">
        <v>63</v>
      </c>
      <c r="M19" s="172"/>
      <c r="N19" s="191"/>
      <c r="O19" s="197" t="s">
        <v>2</v>
      </c>
      <c r="P19" s="264" t="s">
        <v>194</v>
      </c>
      <c r="Q19" s="264" t="s">
        <v>60</v>
      </c>
      <c r="R19" s="264" t="s">
        <v>61</v>
      </c>
      <c r="S19" s="264" t="s">
        <v>62</v>
      </c>
      <c r="T19" s="267" t="s">
        <v>63</v>
      </c>
      <c r="U19" s="275" t="s">
        <v>194</v>
      </c>
      <c r="V19" s="264" t="s">
        <v>60</v>
      </c>
      <c r="W19" s="264" t="s">
        <v>61</v>
      </c>
      <c r="X19" s="264" t="s">
        <v>62</v>
      </c>
      <c r="Y19" s="264" t="s">
        <v>63</v>
      </c>
    </row>
    <row r="20" spans="2:26" ht="15" x14ac:dyDescent="0.2">
      <c r="B20" s="198"/>
      <c r="C20" s="198"/>
      <c r="D20" s="265"/>
      <c r="E20" s="265"/>
      <c r="F20" s="265"/>
      <c r="G20" s="268"/>
      <c r="H20" s="276"/>
      <c r="I20" s="265"/>
      <c r="J20" s="265"/>
      <c r="K20" s="265"/>
      <c r="L20" s="265"/>
      <c r="M20" s="172"/>
      <c r="N20" s="191"/>
      <c r="O20" s="198"/>
      <c r="P20" s="265"/>
      <c r="Q20" s="265"/>
      <c r="R20" s="265"/>
      <c r="S20" s="265"/>
      <c r="T20" s="268"/>
      <c r="U20" s="276"/>
      <c r="V20" s="265"/>
      <c r="W20" s="265"/>
      <c r="X20" s="265"/>
      <c r="Y20" s="265"/>
    </row>
    <row r="21" spans="2:26" ht="37.5" customHeight="1" thickBot="1" x14ac:dyDescent="0.25">
      <c r="B21" s="199"/>
      <c r="C21" s="199"/>
      <c r="D21" s="266"/>
      <c r="E21" s="266"/>
      <c r="F21" s="266"/>
      <c r="G21" s="269"/>
      <c r="H21" s="277"/>
      <c r="I21" s="266"/>
      <c r="J21" s="266"/>
      <c r="K21" s="266"/>
      <c r="L21" s="266"/>
      <c r="M21" s="172"/>
      <c r="N21" s="191"/>
      <c r="O21" s="199"/>
      <c r="P21" s="266"/>
      <c r="Q21" s="266"/>
      <c r="R21" s="266"/>
      <c r="S21" s="266"/>
      <c r="T21" s="269"/>
      <c r="U21" s="277"/>
      <c r="V21" s="266"/>
      <c r="W21" s="266"/>
      <c r="X21" s="266"/>
      <c r="Y21" s="266"/>
    </row>
    <row r="22" spans="2:26" s="93" customFormat="1" ht="28.35" customHeight="1" thickBot="1" x14ac:dyDescent="0.25">
      <c r="B22" s="29" t="s">
        <v>6</v>
      </c>
      <c r="C22" s="153">
        <f>'2'!C21</f>
        <v>126</v>
      </c>
      <c r="D22" s="153">
        <f>C22-F22</f>
        <v>32</v>
      </c>
      <c r="E22" s="137">
        <f>D22/C22</f>
        <v>0.25396825396825395</v>
      </c>
      <c r="F22" s="153">
        <f>'3 - APROV POR ANO E DISC.'!C12</f>
        <v>94</v>
      </c>
      <c r="G22" s="164">
        <f>'3 - APROV POR ANO E DISC.'!D12</f>
        <v>0.74603174603174605</v>
      </c>
      <c r="H22" s="153">
        <f>23+18+20+16+20+20</f>
        <v>117</v>
      </c>
      <c r="I22" s="153">
        <f>10+11+15</f>
        <v>36</v>
      </c>
      <c r="J22" s="137">
        <f>I22/H22</f>
        <v>0.30769230769230771</v>
      </c>
      <c r="K22" s="153">
        <f>H22-I22</f>
        <v>81</v>
      </c>
      <c r="L22" s="137">
        <f>K22/H22</f>
        <v>0.69230769230769229</v>
      </c>
      <c r="M22" s="173"/>
      <c r="N22" s="192"/>
      <c r="O22" s="29" t="s">
        <v>9</v>
      </c>
      <c r="P22" s="179">
        <v>101</v>
      </c>
      <c r="Q22" s="179">
        <f>2+2+1</f>
        <v>5</v>
      </c>
      <c r="R22" s="137">
        <f>Q22/P22</f>
        <v>4.9504950495049507E-2</v>
      </c>
      <c r="S22" s="179">
        <f>P22-Q22</f>
        <v>96</v>
      </c>
      <c r="T22" s="164">
        <f>S22/P22</f>
        <v>0.95049504950495045</v>
      </c>
      <c r="U22" s="179">
        <v>101</v>
      </c>
      <c r="V22" s="179">
        <f>2+5+5+4+3</f>
        <v>19</v>
      </c>
      <c r="W22" s="137">
        <f>V22/U22</f>
        <v>0.18811881188118812</v>
      </c>
      <c r="X22" s="179">
        <f>U22-V22</f>
        <v>82</v>
      </c>
      <c r="Y22" s="137">
        <f>X22/U22</f>
        <v>0.81188118811881194</v>
      </c>
      <c r="Z22"/>
    </row>
    <row r="23" spans="2:26" ht="15.75" x14ac:dyDescent="0.25">
      <c r="B23" s="2"/>
      <c r="O23" s="2"/>
    </row>
    <row r="24" spans="2:26" ht="15.75" x14ac:dyDescent="0.25">
      <c r="B24" s="3"/>
      <c r="O24" s="3"/>
    </row>
    <row r="25" spans="2:26" ht="15.75" x14ac:dyDescent="0.25">
      <c r="B25" s="1"/>
      <c r="O25" s="1"/>
    </row>
    <row r="27" spans="2:26" ht="15.75" x14ac:dyDescent="0.25">
      <c r="B27" s="1"/>
    </row>
    <row r="28" spans="2:26" ht="15.75" x14ac:dyDescent="0.25">
      <c r="B28" s="1"/>
    </row>
    <row r="29" spans="2:26" ht="15.75" x14ac:dyDescent="0.25">
      <c r="B29" s="1"/>
    </row>
    <row r="31" spans="2:26" ht="18" customHeight="1" x14ac:dyDescent="0.2">
      <c r="O31" s="93"/>
      <c r="P31" s="93"/>
      <c r="Q31" s="93"/>
      <c r="R31" s="93"/>
      <c r="S31" s="93"/>
      <c r="T31" s="93"/>
      <c r="U31" s="93"/>
      <c r="V31" s="93"/>
      <c r="W31" s="93"/>
      <c r="X31" s="93"/>
      <c r="Y31" s="93"/>
      <c r="Z31" s="93"/>
    </row>
    <row r="32" spans="2:26" ht="12.75" customHeight="1" x14ac:dyDescent="0.2"/>
    <row r="33" spans="2:26" ht="15.75" customHeight="1" x14ac:dyDescent="0.2"/>
    <row r="34" spans="2:26" ht="18.75" customHeight="1" x14ac:dyDescent="0.2"/>
    <row r="35" spans="2:26" ht="12.75" customHeight="1" x14ac:dyDescent="0.2"/>
    <row r="38" spans="2:26" ht="15.75" x14ac:dyDescent="0.25">
      <c r="B38" s="3" t="s">
        <v>165</v>
      </c>
    </row>
    <row r="39" spans="2:26" ht="15.75" customHeight="1" thickBot="1" x14ac:dyDescent="0.3">
      <c r="B39" s="1"/>
      <c r="N39" s="3" t="s">
        <v>175</v>
      </c>
    </row>
    <row r="40" spans="2:26" x14ac:dyDescent="0.2">
      <c r="B40" s="263"/>
      <c r="C40" s="278"/>
      <c r="D40" s="279"/>
      <c r="E40" s="279"/>
      <c r="F40" s="279"/>
      <c r="G40" s="279"/>
      <c r="H40" s="279"/>
      <c r="I40" s="279"/>
      <c r="J40" s="279"/>
      <c r="K40" s="279"/>
      <c r="L40" s="280"/>
      <c r="M40" s="170"/>
      <c r="N40" s="189"/>
      <c r="O40" s="263"/>
      <c r="P40" s="278"/>
      <c r="Q40" s="279"/>
      <c r="R40" s="279"/>
      <c r="S40" s="279"/>
      <c r="T40" s="279"/>
      <c r="U40" s="279"/>
      <c r="V40" s="279"/>
      <c r="W40" s="279"/>
      <c r="X40" s="279"/>
      <c r="Y40" s="280"/>
    </row>
    <row r="41" spans="2:26" ht="15.75" customHeight="1" x14ac:dyDescent="0.2">
      <c r="B41" s="263"/>
      <c r="C41" s="261" t="s">
        <v>54</v>
      </c>
      <c r="D41" s="262"/>
      <c r="E41" s="262"/>
      <c r="F41" s="262"/>
      <c r="G41" s="262"/>
      <c r="H41" s="262"/>
      <c r="I41" s="262"/>
      <c r="J41" s="262"/>
      <c r="K41" s="262"/>
      <c r="L41" s="233"/>
      <c r="M41" s="156"/>
      <c r="N41" s="184"/>
      <c r="O41" s="263"/>
      <c r="P41" s="261" t="s">
        <v>54</v>
      </c>
      <c r="Q41" s="284"/>
      <c r="R41" s="284"/>
      <c r="S41" s="284"/>
      <c r="T41" s="284"/>
      <c r="U41" s="284"/>
      <c r="V41" s="284"/>
      <c r="W41" s="284"/>
      <c r="X41" s="284"/>
      <c r="Y41" s="233"/>
    </row>
    <row r="42" spans="2:26" ht="13.5" thickBot="1" x14ac:dyDescent="0.25">
      <c r="B42" s="263"/>
      <c r="C42" s="258"/>
      <c r="D42" s="259"/>
      <c r="E42" s="259"/>
      <c r="F42" s="259"/>
      <c r="G42" s="259"/>
      <c r="H42" s="259"/>
      <c r="I42" s="259"/>
      <c r="J42" s="259"/>
      <c r="K42" s="259"/>
      <c r="L42" s="260"/>
      <c r="M42" s="170"/>
      <c r="N42" s="189"/>
      <c r="O42" s="263"/>
      <c r="P42" s="258"/>
      <c r="Q42" s="259"/>
      <c r="R42" s="259"/>
      <c r="S42" s="259"/>
      <c r="T42" s="259"/>
      <c r="U42" s="259"/>
      <c r="V42" s="259"/>
      <c r="W42" s="259"/>
      <c r="X42" s="259"/>
      <c r="Y42" s="260"/>
    </row>
    <row r="43" spans="2:26" ht="16.5" customHeight="1" thickBot="1" x14ac:dyDescent="0.3">
      <c r="B43" s="5"/>
      <c r="C43" s="273" t="s">
        <v>58</v>
      </c>
      <c r="D43" s="271"/>
      <c r="E43" s="271"/>
      <c r="F43" s="271"/>
      <c r="G43" s="274"/>
      <c r="H43" s="270" t="s">
        <v>59</v>
      </c>
      <c r="I43" s="271"/>
      <c r="J43" s="271"/>
      <c r="K43" s="271"/>
      <c r="L43" s="272"/>
      <c r="M43" s="171"/>
      <c r="N43" s="190"/>
      <c r="O43" s="5"/>
      <c r="P43" s="273" t="s">
        <v>58</v>
      </c>
      <c r="Q43" s="271"/>
      <c r="R43" s="271"/>
      <c r="S43" s="271"/>
      <c r="T43" s="274"/>
      <c r="U43" s="270" t="s">
        <v>66</v>
      </c>
      <c r="V43" s="271"/>
      <c r="W43" s="271"/>
      <c r="X43" s="271"/>
      <c r="Y43" s="272"/>
      <c r="Z43" s="3"/>
    </row>
    <row r="44" spans="2:26" ht="18.75" customHeight="1" x14ac:dyDescent="0.25">
      <c r="B44" s="197" t="s">
        <v>2</v>
      </c>
      <c r="C44" s="197" t="s">
        <v>226</v>
      </c>
      <c r="D44" s="264" t="s">
        <v>60</v>
      </c>
      <c r="E44" s="264" t="s">
        <v>61</v>
      </c>
      <c r="F44" s="264" t="s">
        <v>62</v>
      </c>
      <c r="G44" s="267" t="s">
        <v>63</v>
      </c>
      <c r="H44" s="275" t="s">
        <v>195</v>
      </c>
      <c r="I44" s="264" t="s">
        <v>60</v>
      </c>
      <c r="J44" s="264" t="s">
        <v>61</v>
      </c>
      <c r="K44" s="264" t="s">
        <v>62</v>
      </c>
      <c r="L44" s="264" t="s">
        <v>63</v>
      </c>
      <c r="M44" s="172"/>
      <c r="N44" s="191"/>
      <c r="O44" s="197" t="s">
        <v>2</v>
      </c>
      <c r="P44" s="197" t="s">
        <v>194</v>
      </c>
      <c r="Q44" s="197" t="s">
        <v>60</v>
      </c>
      <c r="R44" s="197" t="s">
        <v>61</v>
      </c>
      <c r="S44" s="197" t="s">
        <v>62</v>
      </c>
      <c r="T44" s="281" t="s">
        <v>63</v>
      </c>
      <c r="U44" s="197" t="s">
        <v>194</v>
      </c>
      <c r="V44" s="197" t="s">
        <v>60</v>
      </c>
      <c r="W44" s="197" t="s">
        <v>61</v>
      </c>
      <c r="X44" s="197" t="s">
        <v>62</v>
      </c>
      <c r="Y44" s="197" t="s">
        <v>63</v>
      </c>
      <c r="Z44" s="1"/>
    </row>
    <row r="45" spans="2:26" ht="12.75" customHeight="1" x14ac:dyDescent="0.2">
      <c r="B45" s="198"/>
      <c r="C45" s="198"/>
      <c r="D45" s="265"/>
      <c r="E45" s="265"/>
      <c r="F45" s="265"/>
      <c r="G45" s="268"/>
      <c r="H45" s="276"/>
      <c r="I45" s="265"/>
      <c r="J45" s="265"/>
      <c r="K45" s="265"/>
      <c r="L45" s="265"/>
      <c r="M45" s="172"/>
      <c r="N45" s="191"/>
      <c r="O45" s="198"/>
      <c r="P45" s="198"/>
      <c r="Q45" s="198"/>
      <c r="R45" s="198"/>
      <c r="S45" s="198"/>
      <c r="T45" s="282"/>
      <c r="U45" s="198"/>
      <c r="V45" s="198"/>
      <c r="W45" s="198"/>
      <c r="X45" s="198"/>
      <c r="Y45" s="198"/>
    </row>
    <row r="46" spans="2:26" ht="40.5" customHeight="1" thickBot="1" x14ac:dyDescent="0.25">
      <c r="B46" s="199"/>
      <c r="C46" s="199"/>
      <c r="D46" s="266"/>
      <c r="E46" s="266"/>
      <c r="F46" s="266"/>
      <c r="G46" s="269"/>
      <c r="H46" s="277"/>
      <c r="I46" s="266"/>
      <c r="J46" s="266"/>
      <c r="K46" s="266"/>
      <c r="L46" s="266"/>
      <c r="M46" s="172"/>
      <c r="N46" s="191"/>
      <c r="O46" s="199"/>
      <c r="P46" s="199"/>
      <c r="Q46" s="199"/>
      <c r="R46" s="199"/>
      <c r="S46" s="199"/>
      <c r="T46" s="283"/>
      <c r="U46" s="199"/>
      <c r="V46" s="199"/>
      <c r="W46" s="199"/>
      <c r="X46" s="199"/>
      <c r="Y46" s="199"/>
    </row>
    <row r="47" spans="2:26" ht="28.35" customHeight="1" thickBot="1" x14ac:dyDescent="0.25">
      <c r="B47" s="6" t="s">
        <v>6</v>
      </c>
      <c r="C47" s="155">
        <f>'2'!C21</f>
        <v>126</v>
      </c>
      <c r="D47" s="155">
        <f>C47-F47</f>
        <v>46</v>
      </c>
      <c r="E47" s="32">
        <f>D47/C47</f>
        <v>0.36507936507936506</v>
      </c>
      <c r="F47" s="155">
        <f>'3 - APROV POR ANO E DISC.'!I12</f>
        <v>80</v>
      </c>
      <c r="G47" s="33">
        <f>F47/C47</f>
        <v>0.63492063492063489</v>
      </c>
      <c r="H47" s="155">
        <f>22+17+38+38</f>
        <v>115</v>
      </c>
      <c r="I47" s="155">
        <f>15+16+12+16</f>
        <v>59</v>
      </c>
      <c r="J47" s="32">
        <f>I47/H47</f>
        <v>0.5130434782608696</v>
      </c>
      <c r="K47" s="155">
        <f>H47-I47</f>
        <v>56</v>
      </c>
      <c r="L47" s="32">
        <f>K47/H47</f>
        <v>0.48695652173913045</v>
      </c>
      <c r="M47" s="174"/>
      <c r="N47" s="193"/>
      <c r="O47" s="6" t="s">
        <v>9</v>
      </c>
      <c r="P47" s="7">
        <v>101</v>
      </c>
      <c r="Q47" s="7">
        <f>1+3+3+4+7</f>
        <v>18</v>
      </c>
      <c r="R47" s="32">
        <f>Q47/P47</f>
        <v>0.17821782178217821</v>
      </c>
      <c r="S47" s="7">
        <f>P47-Q47</f>
        <v>83</v>
      </c>
      <c r="T47" s="33">
        <f>S47/P47</f>
        <v>0.82178217821782173</v>
      </c>
      <c r="U47" s="7">
        <v>101</v>
      </c>
      <c r="V47" s="7">
        <f>6+12+10+11+14</f>
        <v>53</v>
      </c>
      <c r="W47" s="32">
        <f>V47/U47</f>
        <v>0.52475247524752477</v>
      </c>
      <c r="X47" s="7">
        <f>U47-V47</f>
        <v>48</v>
      </c>
      <c r="Y47" s="32">
        <f>X47/U47</f>
        <v>0.47524752475247523</v>
      </c>
    </row>
    <row r="48" spans="2:26" ht="15.75" x14ac:dyDescent="0.25">
      <c r="B48" s="157"/>
      <c r="O48" s="2"/>
    </row>
    <row r="49" spans="2:26" ht="15.75" x14ac:dyDescent="0.25">
      <c r="B49" s="3"/>
    </row>
    <row r="50" spans="2:26" ht="15.75" x14ac:dyDescent="0.25">
      <c r="B50" s="1"/>
    </row>
    <row r="52" spans="2:26" ht="15.75" x14ac:dyDescent="0.25">
      <c r="B52" s="1"/>
    </row>
    <row r="53" spans="2:26" ht="15.75" x14ac:dyDescent="0.25">
      <c r="B53" s="1"/>
    </row>
    <row r="54" spans="2:26" ht="15.75" x14ac:dyDescent="0.25">
      <c r="B54" s="1"/>
    </row>
    <row r="55" spans="2:26" ht="15.75" x14ac:dyDescent="0.25">
      <c r="B55" s="1"/>
    </row>
    <row r="56" spans="2:26" ht="15.75" x14ac:dyDescent="0.25">
      <c r="B56" s="1"/>
    </row>
    <row r="60" spans="2:26" ht="15.75" customHeight="1" x14ac:dyDescent="0.2"/>
    <row r="62" spans="2:26" ht="12.75" customHeight="1" x14ac:dyDescent="0.2">
      <c r="M62">
        <v>24</v>
      </c>
      <c r="O62" s="76"/>
      <c r="P62" s="76"/>
      <c r="Q62" s="76"/>
      <c r="R62" s="76"/>
      <c r="S62" s="76"/>
      <c r="T62" s="76"/>
      <c r="U62" s="76"/>
      <c r="V62" s="76"/>
      <c r="W62" s="76"/>
      <c r="X62" s="76"/>
      <c r="Y62" s="76"/>
      <c r="Z62">
        <v>25</v>
      </c>
    </row>
    <row r="63" spans="2:26" ht="12.75" customHeight="1" x14ac:dyDescent="0.2">
      <c r="O63" s="76"/>
      <c r="P63" s="76"/>
      <c r="Q63" s="76"/>
      <c r="R63" s="76"/>
      <c r="S63" s="76"/>
      <c r="T63" s="76"/>
      <c r="U63" s="76"/>
      <c r="V63" s="76"/>
      <c r="W63" s="76"/>
      <c r="X63" s="76"/>
      <c r="Y63" s="76"/>
    </row>
    <row r="64" spans="2:26" ht="12.75" customHeight="1" x14ac:dyDescent="0.2">
      <c r="O64" s="76"/>
      <c r="P64" s="76"/>
      <c r="Q64" s="76"/>
      <c r="R64" s="76"/>
      <c r="S64" s="76"/>
      <c r="T64" s="76"/>
      <c r="U64" s="76"/>
      <c r="V64" s="76"/>
      <c r="W64" s="76"/>
      <c r="X64" s="76"/>
      <c r="Y64" s="76"/>
    </row>
    <row r="65" spans="2:25" ht="12.75" customHeight="1" x14ac:dyDescent="0.2">
      <c r="O65" s="76"/>
      <c r="P65" s="76"/>
      <c r="Q65" s="76"/>
      <c r="R65" s="76"/>
      <c r="S65" s="76"/>
      <c r="T65" s="76"/>
      <c r="U65" s="76"/>
      <c r="V65" s="76"/>
      <c r="W65" s="76"/>
      <c r="X65" s="76"/>
      <c r="Y65" s="76"/>
    </row>
    <row r="67" spans="2:25" ht="15.75" x14ac:dyDescent="0.25">
      <c r="B67" s="3"/>
      <c r="O67" s="3"/>
    </row>
    <row r="68" spans="2:25" ht="12.75" customHeight="1" x14ac:dyDescent="0.25">
      <c r="B68" s="76"/>
      <c r="C68" s="76"/>
      <c r="D68" s="76"/>
      <c r="E68" s="76"/>
      <c r="F68" s="76"/>
      <c r="G68" s="76"/>
      <c r="H68" s="76"/>
      <c r="I68" s="76"/>
      <c r="J68" s="76"/>
      <c r="K68" s="76"/>
      <c r="L68" s="76"/>
      <c r="M68" s="76"/>
      <c r="N68" s="76"/>
      <c r="O68" s="165"/>
      <c r="P68" s="165"/>
      <c r="Q68" s="165"/>
      <c r="R68" s="165"/>
      <c r="S68" s="165"/>
      <c r="T68" s="165"/>
      <c r="U68" s="165"/>
      <c r="V68" s="165"/>
      <c r="W68" s="165"/>
      <c r="X68" s="165"/>
      <c r="Y68" s="165"/>
    </row>
    <row r="69" spans="2:25" ht="20.25" customHeight="1" x14ac:dyDescent="0.25">
      <c r="B69" s="76"/>
      <c r="C69" s="76"/>
      <c r="D69" s="76"/>
      <c r="E69" s="76"/>
      <c r="F69" s="76"/>
      <c r="G69" s="76"/>
      <c r="H69" s="76"/>
      <c r="I69" s="76"/>
      <c r="J69" s="76"/>
      <c r="K69" s="76"/>
      <c r="L69" s="76"/>
      <c r="M69" s="76"/>
      <c r="N69" s="76"/>
      <c r="O69" s="165"/>
      <c r="P69" s="165"/>
      <c r="Q69" s="165"/>
      <c r="R69" s="165"/>
      <c r="S69" s="165"/>
      <c r="T69" s="165"/>
      <c r="U69" s="165"/>
      <c r="V69" s="165"/>
      <c r="W69" s="165"/>
      <c r="X69" s="165"/>
      <c r="Y69" s="165"/>
    </row>
    <row r="70" spans="2:25" ht="27" customHeight="1" x14ac:dyDescent="0.2">
      <c r="B70" s="76"/>
      <c r="C70" s="76"/>
      <c r="D70" s="76"/>
      <c r="E70" s="76"/>
      <c r="F70" s="76"/>
      <c r="G70" s="76"/>
      <c r="H70" s="76"/>
      <c r="I70" s="76"/>
      <c r="J70" s="76"/>
      <c r="K70" s="76"/>
      <c r="L70" s="76"/>
      <c r="M70" s="76"/>
      <c r="N70" s="76"/>
      <c r="O70" s="76"/>
      <c r="P70" s="76"/>
      <c r="Q70" s="76"/>
      <c r="R70" s="76"/>
      <c r="S70" s="76"/>
      <c r="T70" s="76"/>
      <c r="U70" s="76"/>
      <c r="V70" s="76"/>
      <c r="W70" s="76"/>
      <c r="X70" s="76"/>
      <c r="Y70" s="76"/>
    </row>
    <row r="71" spans="2:25" ht="15.75" x14ac:dyDescent="0.25">
      <c r="B71" s="1"/>
      <c r="O71" s="76"/>
      <c r="P71" s="76"/>
      <c r="Q71" s="76"/>
      <c r="R71" s="76"/>
      <c r="S71" s="76"/>
      <c r="T71" s="76"/>
      <c r="U71" s="76"/>
      <c r="V71" s="76"/>
      <c r="W71" s="76"/>
      <c r="X71" s="76"/>
      <c r="Y71" s="76"/>
    </row>
    <row r="72" spans="2:25" ht="15.75" x14ac:dyDescent="0.25">
      <c r="B72" s="1"/>
    </row>
    <row r="73" spans="2:25" ht="15.75" x14ac:dyDescent="0.25">
      <c r="B73" s="1"/>
    </row>
    <row r="74" spans="2:25" ht="15.75" x14ac:dyDescent="0.25">
      <c r="B74" s="1"/>
    </row>
    <row r="75" spans="2:25" ht="15.75" x14ac:dyDescent="0.25">
      <c r="B75" s="1"/>
    </row>
    <row r="76" spans="2:25" ht="15.75" x14ac:dyDescent="0.25">
      <c r="B76" s="1"/>
    </row>
    <row r="77" spans="2:25" ht="15.75" x14ac:dyDescent="0.25">
      <c r="B77" s="1"/>
    </row>
    <row r="78" spans="2:25" ht="15.75" x14ac:dyDescent="0.25">
      <c r="B78" s="1"/>
    </row>
    <row r="79" spans="2:25" ht="15.75" x14ac:dyDescent="0.25">
      <c r="B79" s="1"/>
    </row>
    <row r="80" spans="2:25" ht="15.75" x14ac:dyDescent="0.25">
      <c r="B80" s="1"/>
    </row>
    <row r="81" spans="2:2" ht="15.75" x14ac:dyDescent="0.25">
      <c r="B81" s="1"/>
    </row>
    <row r="82" spans="2:2" ht="15.75" x14ac:dyDescent="0.25">
      <c r="B82" s="1"/>
    </row>
    <row r="83" spans="2:2" ht="15.75" x14ac:dyDescent="0.25">
      <c r="B83" s="1"/>
    </row>
    <row r="84" spans="2:2" ht="15.75" x14ac:dyDescent="0.25">
      <c r="B84" s="1"/>
    </row>
    <row r="85" spans="2:2" ht="15.75" x14ac:dyDescent="0.25">
      <c r="B85" s="1"/>
    </row>
    <row r="86" spans="2:2" ht="15.75" x14ac:dyDescent="0.25">
      <c r="B86" s="1"/>
    </row>
    <row r="87" spans="2:2" ht="15.75" x14ac:dyDescent="0.25">
      <c r="B87" s="1"/>
    </row>
    <row r="88" spans="2:2" ht="15.75" x14ac:dyDescent="0.25">
      <c r="B88" s="1"/>
    </row>
  </sheetData>
  <mergeCells count="68">
    <mergeCell ref="B15:B17"/>
    <mergeCell ref="C15:L15"/>
    <mergeCell ref="C16:L16"/>
    <mergeCell ref="C17:L17"/>
    <mergeCell ref="I19:I21"/>
    <mergeCell ref="J19:J21"/>
    <mergeCell ref="C18:G18"/>
    <mergeCell ref="H18:L18"/>
    <mergeCell ref="D19:D21"/>
    <mergeCell ref="E19:E21"/>
    <mergeCell ref="K19:K21"/>
    <mergeCell ref="B19:B21"/>
    <mergeCell ref="C19:C21"/>
    <mergeCell ref="F19:F21"/>
    <mergeCell ref="G19:G21"/>
    <mergeCell ref="O15:O17"/>
    <mergeCell ref="P15:Y15"/>
    <mergeCell ref="P16:Y16"/>
    <mergeCell ref="P17:Y17"/>
    <mergeCell ref="P18:T18"/>
    <mergeCell ref="U18:Y18"/>
    <mergeCell ref="X44:X46"/>
    <mergeCell ref="Y44:Y46"/>
    <mergeCell ref="S19:S21"/>
    <mergeCell ref="T19:T21"/>
    <mergeCell ref="V19:V21"/>
    <mergeCell ref="W19:W21"/>
    <mergeCell ref="S44:S46"/>
    <mergeCell ref="T44:T46"/>
    <mergeCell ref="V44:V46"/>
    <mergeCell ref="W44:W46"/>
    <mergeCell ref="P40:Y40"/>
    <mergeCell ref="P41:Y41"/>
    <mergeCell ref="P42:Y42"/>
    <mergeCell ref="R44:R46"/>
    <mergeCell ref="X19:X21"/>
    <mergeCell ref="U19:U21"/>
    <mergeCell ref="P44:P46"/>
    <mergeCell ref="U44:U46"/>
    <mergeCell ref="H44:H46"/>
    <mergeCell ref="H19:H21"/>
    <mergeCell ref="R19:R21"/>
    <mergeCell ref="O40:O42"/>
    <mergeCell ref="P19:P21"/>
    <mergeCell ref="Q19:Q21"/>
    <mergeCell ref="L19:L21"/>
    <mergeCell ref="C40:L40"/>
    <mergeCell ref="P43:T43"/>
    <mergeCell ref="U43:Y43"/>
    <mergeCell ref="Q44:Q46"/>
    <mergeCell ref="Y19:Y21"/>
    <mergeCell ref="O19:O21"/>
    <mergeCell ref="O44:O46"/>
    <mergeCell ref="C42:L42"/>
    <mergeCell ref="C41:L41"/>
    <mergeCell ref="B40:B42"/>
    <mergeCell ref="F44:F46"/>
    <mergeCell ref="G44:G46"/>
    <mergeCell ref="B44:B46"/>
    <mergeCell ref="C44:C46"/>
    <mergeCell ref="H43:L43"/>
    <mergeCell ref="C43:G43"/>
    <mergeCell ref="J44:J46"/>
    <mergeCell ref="I44:I46"/>
    <mergeCell ref="L44:L46"/>
    <mergeCell ref="K44:K46"/>
    <mergeCell ref="D44:D46"/>
    <mergeCell ref="E44:E46"/>
  </mergeCells>
  <phoneticPr fontId="6" type="noConversion"/>
  <pageMargins left="0.78740157480314965" right="0.78740157480314965" top="0.98425196850393704" bottom="0.98425196850393704" header="0" footer="0"/>
  <pageSetup paperSize="9" scale="70" orientation="portrait" horizontalDpi="300" verticalDpi="300"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K67"/>
  <sheetViews>
    <sheetView view="pageLayout" zoomScaleNormal="100" workbookViewId="0">
      <selection activeCell="C7" sqref="C7:D7"/>
    </sheetView>
  </sheetViews>
  <sheetFormatPr defaultRowHeight="12.75" x14ac:dyDescent="0.2"/>
  <cols>
    <col min="5" max="5" width="12.85546875" bestFit="1" customWidth="1"/>
    <col min="6" max="6" width="12.7109375" customWidth="1"/>
    <col min="7" max="7" width="13.42578125" bestFit="1" customWidth="1"/>
    <col min="8" max="8" width="11.28515625" customWidth="1"/>
    <col min="9" max="9" width="12.5703125" customWidth="1"/>
    <col min="11" max="11" width="10.42578125" customWidth="1"/>
  </cols>
  <sheetData>
    <row r="1" spans="1:11" ht="15.75" x14ac:dyDescent="0.25">
      <c r="A1" s="1" t="s">
        <v>223</v>
      </c>
    </row>
    <row r="7" spans="1:11" ht="15.75" x14ac:dyDescent="0.25">
      <c r="A7" s="3" t="s">
        <v>181</v>
      </c>
    </row>
    <row r="9" spans="1:11" ht="13.5" thickBot="1" x14ac:dyDescent="0.25"/>
    <row r="10" spans="1:11" ht="60.75" thickBot="1" x14ac:dyDescent="0.25">
      <c r="C10" s="166" t="s">
        <v>2</v>
      </c>
      <c r="D10" s="167" t="s">
        <v>12</v>
      </c>
      <c r="E10" s="167" t="s">
        <v>166</v>
      </c>
      <c r="F10" s="167" t="s">
        <v>167</v>
      </c>
      <c r="G10" s="168" t="s">
        <v>168</v>
      </c>
      <c r="H10" s="167" t="s">
        <v>169</v>
      </c>
      <c r="I10" s="168" t="s">
        <v>170</v>
      </c>
    </row>
    <row r="11" spans="1:11" s="93" customFormat="1" ht="28.35" customHeight="1" thickBot="1" x14ac:dyDescent="0.25">
      <c r="C11" s="29" t="s">
        <v>5</v>
      </c>
      <c r="D11" s="153">
        <f>'2'!D20</f>
        <v>135</v>
      </c>
      <c r="E11" s="153">
        <f>10+9+14+9+18+11</f>
        <v>71</v>
      </c>
      <c r="F11" s="151">
        <f>1+1+3+8+4</f>
        <v>17</v>
      </c>
      <c r="G11" s="152">
        <f>F11/E11</f>
        <v>0.23943661971830985</v>
      </c>
      <c r="H11" s="44">
        <f>3+3+3+1</f>
        <v>10</v>
      </c>
      <c r="I11" s="70">
        <f>H11/(D11-E11)</f>
        <v>0.15625</v>
      </c>
    </row>
    <row r="12" spans="1:11" s="93" customFormat="1" ht="28.35" customHeight="1" thickBot="1" x14ac:dyDescent="0.25">
      <c r="C12" s="29" t="s">
        <v>6</v>
      </c>
      <c r="D12" s="153">
        <f>'2'!D21</f>
        <v>127</v>
      </c>
      <c r="E12" s="153">
        <f>11+10+10+8+9+16</f>
        <v>64</v>
      </c>
      <c r="F12" s="151">
        <f>1+1+1+3</f>
        <v>6</v>
      </c>
      <c r="G12" s="152">
        <f t="shared" ref="G12:G17" si="0">F12/E12</f>
        <v>9.375E-2</v>
      </c>
      <c r="H12" s="44">
        <f>1+2+2+3+4</f>
        <v>12</v>
      </c>
      <c r="I12" s="70">
        <f t="shared" ref="I12:I17" si="1">H12/(D12-E12)</f>
        <v>0.19047619047619047</v>
      </c>
    </row>
    <row r="13" spans="1:11" s="93" customFormat="1" ht="28.35" customHeight="1" thickBot="1" x14ac:dyDescent="0.25">
      <c r="C13" s="29" t="s">
        <v>7</v>
      </c>
      <c r="D13" s="153">
        <f>'2'!C22</f>
        <v>162</v>
      </c>
      <c r="E13" s="153">
        <f>8+14+16+7+13+11+9+7</f>
        <v>85</v>
      </c>
      <c r="F13" s="151">
        <f>3+4+9+4+6+2+3+4</f>
        <v>35</v>
      </c>
      <c r="G13" s="152">
        <f t="shared" si="0"/>
        <v>0.41176470588235292</v>
      </c>
      <c r="H13" s="44">
        <f>3+2+2+5+2+4+3+3</f>
        <v>24</v>
      </c>
      <c r="I13" s="70">
        <f t="shared" si="1"/>
        <v>0.31168831168831168</v>
      </c>
    </row>
    <row r="14" spans="1:11" s="93" customFormat="1" ht="28.35" customHeight="1" thickBot="1" x14ac:dyDescent="0.25">
      <c r="C14" s="29" t="s">
        <v>8</v>
      </c>
      <c r="D14" s="153">
        <f>'2'!C23</f>
        <v>120</v>
      </c>
      <c r="E14" s="153">
        <f>8+10+8+7+12+6</f>
        <v>51</v>
      </c>
      <c r="F14" s="151">
        <f>3+3+2+1</f>
        <v>9</v>
      </c>
      <c r="G14" s="152">
        <f t="shared" si="0"/>
        <v>0.17647058823529413</v>
      </c>
      <c r="H14" s="44">
        <f>1+1+1+1+2</f>
        <v>6</v>
      </c>
      <c r="I14" s="70">
        <f t="shared" si="1"/>
        <v>8.6956521739130432E-2</v>
      </c>
      <c r="K14" s="132"/>
    </row>
    <row r="15" spans="1:11" s="93" customFormat="1" ht="28.35" customHeight="1" thickBot="1" x14ac:dyDescent="0.25">
      <c r="C15" s="29" t="s">
        <v>9</v>
      </c>
      <c r="D15" s="153">
        <f>'2'!C24</f>
        <v>118</v>
      </c>
      <c r="E15" s="153">
        <f>8+6+10+8+7</f>
        <v>39</v>
      </c>
      <c r="F15" s="151">
        <v>4</v>
      </c>
      <c r="G15" s="152">
        <f t="shared" si="0"/>
        <v>0.10256410256410256</v>
      </c>
      <c r="H15" s="44">
        <v>0</v>
      </c>
      <c r="I15" s="70">
        <f t="shared" si="1"/>
        <v>0</v>
      </c>
    </row>
    <row r="16" spans="1:11" s="93" customFormat="1" ht="28.35" customHeight="1" thickBot="1" x14ac:dyDescent="0.25">
      <c r="C16" s="29" t="s">
        <v>171</v>
      </c>
      <c r="D16" s="153">
        <f>'2'!C25</f>
        <v>33</v>
      </c>
      <c r="E16" s="153">
        <v>13</v>
      </c>
      <c r="F16" s="151">
        <v>1</v>
      </c>
      <c r="G16" s="152">
        <f t="shared" si="0"/>
        <v>7.6923076923076927E-2</v>
      </c>
      <c r="H16" s="44">
        <v>0</v>
      </c>
      <c r="I16" s="70">
        <f t="shared" si="1"/>
        <v>0</v>
      </c>
    </row>
    <row r="17" spans="3:10" s="93" customFormat="1" ht="28.35" customHeight="1" thickBot="1" x14ac:dyDescent="0.25">
      <c r="C17" s="29" t="s">
        <v>11</v>
      </c>
      <c r="D17" s="153">
        <f>SUM(D11:D15)</f>
        <v>662</v>
      </c>
      <c r="E17" s="153">
        <f>SUM(E11:E15)</f>
        <v>310</v>
      </c>
      <c r="F17" s="151">
        <f>SUM(F11:F15)</f>
        <v>71</v>
      </c>
      <c r="G17" s="152">
        <f t="shared" si="0"/>
        <v>0.22903225806451613</v>
      </c>
      <c r="H17" s="44">
        <f>SUM(H11:H16)</f>
        <v>52</v>
      </c>
      <c r="I17" s="70">
        <f t="shared" si="1"/>
        <v>0.14772727272727273</v>
      </c>
    </row>
    <row r="18" spans="3:10" x14ac:dyDescent="0.2">
      <c r="J18" s="40"/>
    </row>
    <row r="67" spans="11:11" x14ac:dyDescent="0.2">
      <c r="K67">
        <v>26</v>
      </c>
    </row>
  </sheetData>
  <pageMargins left="0.78740157499999996" right="0.78740157499999996"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AC04"/>
  </sheetPr>
  <dimension ref="A1:O138"/>
  <sheetViews>
    <sheetView view="pageLayout" zoomScaleNormal="100" workbookViewId="0">
      <selection activeCell="H33" sqref="H33"/>
    </sheetView>
  </sheetViews>
  <sheetFormatPr defaultRowHeight="12.75" x14ac:dyDescent="0.2"/>
  <cols>
    <col min="3" max="3" width="12.28515625" customWidth="1"/>
    <col min="4" max="4" width="15.28515625" customWidth="1"/>
    <col min="5" max="5" width="14.85546875" customWidth="1"/>
    <col min="6" max="6" width="17.28515625" customWidth="1"/>
    <col min="7" max="7" width="22.7109375" customWidth="1"/>
    <col min="8" max="9" width="18.140625" customWidth="1"/>
    <col min="10" max="10" width="12.7109375" customWidth="1"/>
    <col min="11" max="11" width="11.28515625" customWidth="1"/>
    <col min="12" max="12" width="14.5703125" customWidth="1"/>
    <col min="13" max="13" width="13.42578125" customWidth="1"/>
    <col min="14" max="14" width="14.5703125" customWidth="1"/>
    <col min="15" max="15" width="12.85546875" customWidth="1"/>
    <col min="16" max="16" width="16" customWidth="1"/>
  </cols>
  <sheetData>
    <row r="1" spans="1:15" ht="15.75" x14ac:dyDescent="0.25">
      <c r="A1" s="1" t="s">
        <v>224</v>
      </c>
      <c r="D1" s="13"/>
      <c r="E1" s="13"/>
      <c r="F1" s="13"/>
      <c r="G1" s="13"/>
      <c r="H1" s="13"/>
      <c r="I1" s="13"/>
      <c r="J1" s="13"/>
      <c r="K1" s="13"/>
      <c r="L1" s="13"/>
      <c r="M1" s="13"/>
      <c r="N1" s="13"/>
      <c r="O1" s="13"/>
    </row>
    <row r="2" spans="1:15" ht="15.75" x14ac:dyDescent="0.25">
      <c r="A2" s="1"/>
      <c r="D2" s="13"/>
      <c r="E2" s="13"/>
      <c r="F2" s="13"/>
      <c r="G2" s="13"/>
      <c r="H2" s="13"/>
      <c r="I2" s="13"/>
      <c r="J2" s="13"/>
      <c r="K2" s="13"/>
      <c r="L2" s="13"/>
      <c r="M2" s="13"/>
      <c r="N2" s="13"/>
      <c r="O2" s="13"/>
    </row>
    <row r="3" spans="1:15" ht="15.75" x14ac:dyDescent="0.25">
      <c r="A3" s="1"/>
      <c r="D3" s="13"/>
      <c r="E3" s="13"/>
      <c r="F3" s="13"/>
      <c r="G3" s="13"/>
      <c r="H3" s="13"/>
      <c r="I3" s="13"/>
      <c r="J3" s="13"/>
      <c r="K3" s="13"/>
      <c r="L3" s="13"/>
      <c r="M3" s="13"/>
      <c r="N3" s="13"/>
      <c r="O3" s="13"/>
    </row>
    <row r="4" spans="1:15" ht="15.75" x14ac:dyDescent="0.25">
      <c r="A4" s="1"/>
      <c r="D4" s="13"/>
      <c r="E4" s="13"/>
      <c r="F4" s="13"/>
      <c r="G4" s="13"/>
      <c r="H4" s="13"/>
      <c r="I4" s="13"/>
      <c r="J4" s="13"/>
      <c r="K4" s="13"/>
      <c r="L4" s="13"/>
      <c r="M4" s="13"/>
      <c r="N4" s="13"/>
      <c r="O4" s="13"/>
    </row>
    <row r="5" spans="1:15" ht="15.75" x14ac:dyDescent="0.25">
      <c r="A5" s="13"/>
      <c r="D5" s="13"/>
      <c r="E5" s="13"/>
      <c r="F5" s="13"/>
      <c r="G5" s="13"/>
      <c r="H5" s="13"/>
      <c r="I5" s="13"/>
      <c r="J5" s="13"/>
      <c r="K5" s="13"/>
      <c r="L5" s="13"/>
      <c r="M5" s="13"/>
      <c r="N5" s="13"/>
      <c r="O5" s="13"/>
    </row>
    <row r="6" spans="1:15" ht="28.35" customHeight="1" x14ac:dyDescent="0.25">
      <c r="A6" s="3" t="s">
        <v>244</v>
      </c>
      <c r="D6" s="13"/>
      <c r="E6" s="13"/>
      <c r="F6" s="13"/>
      <c r="G6" s="13"/>
      <c r="H6" s="13"/>
      <c r="I6" s="13"/>
      <c r="J6" s="13"/>
      <c r="K6" s="13"/>
      <c r="L6" s="13"/>
      <c r="M6" s="13"/>
      <c r="N6" s="13"/>
      <c r="O6" s="13"/>
    </row>
    <row r="7" spans="1:15" ht="16.5" thickBot="1" x14ac:dyDescent="0.3">
      <c r="C7" s="13"/>
      <c r="D7" s="13"/>
      <c r="E7" s="13"/>
      <c r="F7" s="13"/>
      <c r="G7" s="13"/>
      <c r="H7" s="13"/>
      <c r="I7" s="13"/>
      <c r="J7" s="13"/>
      <c r="K7" s="13"/>
      <c r="L7" s="13"/>
      <c r="M7" s="13"/>
      <c r="N7" s="13"/>
      <c r="O7" s="13"/>
    </row>
    <row r="8" spans="1:15" ht="60.75" thickBot="1" x14ac:dyDescent="0.25">
      <c r="C8" s="166" t="s">
        <v>2</v>
      </c>
      <c r="D8" s="167" t="s">
        <v>12</v>
      </c>
      <c r="E8" s="167" t="s">
        <v>231</v>
      </c>
      <c r="F8" s="167" t="s">
        <v>232</v>
      </c>
      <c r="G8" s="168" t="s">
        <v>182</v>
      </c>
      <c r="H8" s="161"/>
      <c r="I8" s="161"/>
    </row>
    <row r="9" spans="1:15" s="93" customFormat="1" ht="28.35" customHeight="1" thickBot="1" x14ac:dyDescent="0.25">
      <c r="C9" s="29" t="s">
        <v>5</v>
      </c>
      <c r="D9" s="153">
        <f>'2'!D20</f>
        <v>135</v>
      </c>
      <c r="E9" s="153">
        <v>13</v>
      </c>
      <c r="F9" s="151">
        <v>12</v>
      </c>
      <c r="G9" s="152">
        <f>F9/E9</f>
        <v>0.92307692307692313</v>
      </c>
      <c r="H9" s="28"/>
      <c r="I9" s="28"/>
    </row>
    <row r="10" spans="1:15" s="93" customFormat="1" ht="28.35" customHeight="1" thickBot="1" x14ac:dyDescent="0.25">
      <c r="C10" s="29" t="s">
        <v>6</v>
      </c>
      <c r="D10" s="153">
        <f>'2'!D21</f>
        <v>127</v>
      </c>
      <c r="E10" s="153">
        <v>11</v>
      </c>
      <c r="F10" s="151">
        <v>5</v>
      </c>
      <c r="G10" s="152">
        <f t="shared" ref="G10:G15" si="0">F10/E10</f>
        <v>0.45454545454545453</v>
      </c>
      <c r="H10" s="28"/>
      <c r="I10" s="28"/>
    </row>
    <row r="11" spans="1:15" s="93" customFormat="1" ht="28.35" customHeight="1" thickBot="1" x14ac:dyDescent="0.25">
      <c r="C11" s="29" t="s">
        <v>7</v>
      </c>
      <c r="D11" s="153">
        <f>'2'!D22</f>
        <v>162</v>
      </c>
      <c r="E11" s="153">
        <v>24</v>
      </c>
      <c r="F11" s="151">
        <v>5</v>
      </c>
      <c r="G11" s="152">
        <f t="shared" si="0"/>
        <v>0.20833333333333334</v>
      </c>
      <c r="H11" s="28"/>
      <c r="I11" s="28"/>
    </row>
    <row r="12" spans="1:15" s="93" customFormat="1" ht="28.35" customHeight="1" thickBot="1" x14ac:dyDescent="0.25">
      <c r="C12" s="29" t="s">
        <v>8</v>
      </c>
      <c r="D12" s="153">
        <f>'2'!D23</f>
        <v>120</v>
      </c>
      <c r="E12" s="153">
        <v>9</v>
      </c>
      <c r="F12" s="151">
        <v>5</v>
      </c>
      <c r="G12" s="152">
        <f t="shared" si="0"/>
        <v>0.55555555555555558</v>
      </c>
      <c r="H12" s="28"/>
      <c r="I12" s="28"/>
    </row>
    <row r="13" spans="1:15" s="93" customFormat="1" ht="28.35" customHeight="1" thickBot="1" x14ac:dyDescent="0.25">
      <c r="C13" s="29" t="s">
        <v>9</v>
      </c>
      <c r="D13" s="153">
        <f>'2'!D24</f>
        <v>118</v>
      </c>
      <c r="E13" s="153">
        <v>4</v>
      </c>
      <c r="F13" s="151">
        <v>0</v>
      </c>
      <c r="G13" s="152">
        <f t="shared" si="0"/>
        <v>0</v>
      </c>
      <c r="H13" s="28"/>
      <c r="I13" s="28"/>
    </row>
    <row r="14" spans="1:15" s="93" customFormat="1" ht="28.35" customHeight="1" thickBot="1" x14ac:dyDescent="0.25">
      <c r="C14" s="29" t="s">
        <v>171</v>
      </c>
      <c r="D14" s="153">
        <f>'2'!D25</f>
        <v>33</v>
      </c>
      <c r="E14" s="153">
        <v>5</v>
      </c>
      <c r="F14" s="151">
        <v>0</v>
      </c>
      <c r="G14" s="152">
        <f t="shared" si="0"/>
        <v>0</v>
      </c>
      <c r="H14" s="28"/>
      <c r="I14" s="28"/>
    </row>
    <row r="15" spans="1:15" s="93" customFormat="1" ht="28.35" customHeight="1" thickBot="1" x14ac:dyDescent="0.25">
      <c r="C15" s="29" t="s">
        <v>11</v>
      </c>
      <c r="D15" s="153">
        <f>SUM(D9:D13)</f>
        <v>662</v>
      </c>
      <c r="E15" s="153">
        <f>SUM(E9:E14)</f>
        <v>66</v>
      </c>
      <c r="F15" s="151">
        <f>SUM(F9:F14)</f>
        <v>27</v>
      </c>
      <c r="G15" s="152">
        <f t="shared" si="0"/>
        <v>0.40909090909090912</v>
      </c>
      <c r="H15" s="28"/>
      <c r="I15" s="28"/>
    </row>
    <row r="16" spans="1:15" ht="15.75" x14ac:dyDescent="0.25">
      <c r="C16" s="13"/>
      <c r="D16" s="13"/>
      <c r="E16" s="13"/>
      <c r="F16" s="13"/>
      <c r="G16" s="13"/>
      <c r="H16" s="13"/>
      <c r="I16" s="13"/>
      <c r="J16" s="13"/>
    </row>
    <row r="17" spans="2:15" ht="15.75" x14ac:dyDescent="0.25">
      <c r="C17" s="13"/>
      <c r="D17" s="13"/>
      <c r="E17" s="13"/>
      <c r="F17" s="13"/>
      <c r="G17" s="13"/>
      <c r="H17" s="13"/>
      <c r="I17" s="13"/>
      <c r="J17" s="13"/>
    </row>
    <row r="26" spans="2:15" ht="15.75" x14ac:dyDescent="0.25">
      <c r="C26" s="13"/>
      <c r="D26" s="13"/>
      <c r="E26" s="13"/>
      <c r="F26" s="13"/>
      <c r="G26" s="13"/>
      <c r="H26" s="13"/>
      <c r="I26" s="13"/>
      <c r="J26" s="13"/>
    </row>
    <row r="27" spans="2:15" ht="16.5" thickBot="1" x14ac:dyDescent="0.3">
      <c r="C27" s="13"/>
      <c r="D27" s="13"/>
      <c r="E27" s="13"/>
      <c r="F27" s="13"/>
      <c r="G27" s="13"/>
      <c r="H27" s="13"/>
      <c r="I27" s="13"/>
      <c r="J27" s="13"/>
    </row>
    <row r="28" spans="2:15" ht="60.75" thickBot="1" x14ac:dyDescent="0.25">
      <c r="B28" s="166" t="s">
        <v>2</v>
      </c>
      <c r="C28" s="167" t="s">
        <v>232</v>
      </c>
      <c r="D28" s="167" t="s">
        <v>183</v>
      </c>
      <c r="E28" s="166" t="s">
        <v>162</v>
      </c>
      <c r="F28" s="166" t="s">
        <v>233</v>
      </c>
      <c r="G28" s="166" t="s">
        <v>234</v>
      </c>
    </row>
    <row r="29" spans="2:15" s="93" customFormat="1" ht="28.35" customHeight="1" thickBot="1" x14ac:dyDescent="0.25">
      <c r="B29" s="29" t="s">
        <v>5</v>
      </c>
      <c r="C29" s="151">
        <v>12</v>
      </c>
      <c r="D29" s="44">
        <v>7</v>
      </c>
      <c r="E29" s="70">
        <f>D29/F9</f>
        <v>0.58333333333333337</v>
      </c>
      <c r="F29" s="44">
        <v>1</v>
      </c>
      <c r="G29" s="70">
        <f t="shared" ref="G29:G35" si="1">F29/(E9-F9)</f>
        <v>1</v>
      </c>
    </row>
    <row r="30" spans="2:15" s="93" customFormat="1" ht="28.35" customHeight="1" thickBot="1" x14ac:dyDescent="0.25">
      <c r="B30" s="29" t="s">
        <v>6</v>
      </c>
      <c r="C30" s="151">
        <v>5</v>
      </c>
      <c r="D30" s="44">
        <v>2</v>
      </c>
      <c r="E30" s="70">
        <f>D30/F10</f>
        <v>0.4</v>
      </c>
      <c r="F30" s="44">
        <v>6</v>
      </c>
      <c r="G30" s="70">
        <f t="shared" si="1"/>
        <v>1</v>
      </c>
      <c r="K30" s="128"/>
      <c r="L30" s="128"/>
      <c r="M30" s="128"/>
      <c r="N30" s="128"/>
      <c r="O30" s="128"/>
    </row>
    <row r="31" spans="2:15" s="93" customFormat="1" ht="28.35" customHeight="1" thickBot="1" x14ac:dyDescent="0.25">
      <c r="B31" s="29" t="s">
        <v>7</v>
      </c>
      <c r="C31" s="151">
        <v>5</v>
      </c>
      <c r="D31" s="44">
        <v>1</v>
      </c>
      <c r="E31" s="70">
        <f>D31/F11</f>
        <v>0.2</v>
      </c>
      <c r="F31" s="44">
        <v>14</v>
      </c>
      <c r="G31" s="70">
        <f t="shared" si="1"/>
        <v>0.73684210526315785</v>
      </c>
      <c r="K31" s="128"/>
      <c r="L31" s="128"/>
      <c r="M31" s="128"/>
      <c r="N31" s="128"/>
      <c r="O31" s="128"/>
    </row>
    <row r="32" spans="2:15" s="93" customFormat="1" ht="28.35" customHeight="1" thickBot="1" x14ac:dyDescent="0.25">
      <c r="B32" s="29" t="s">
        <v>8</v>
      </c>
      <c r="C32" s="151">
        <v>5</v>
      </c>
      <c r="D32" s="44">
        <v>3</v>
      </c>
      <c r="E32" s="70">
        <f>D32/F12</f>
        <v>0.6</v>
      </c>
      <c r="F32" s="44">
        <v>2</v>
      </c>
      <c r="G32" s="70">
        <f t="shared" si="1"/>
        <v>0.5</v>
      </c>
      <c r="K32" s="128"/>
      <c r="L32" s="128"/>
      <c r="M32" s="128"/>
      <c r="N32" s="128"/>
      <c r="O32" s="128"/>
    </row>
    <row r="33" spans="1:15" s="93" customFormat="1" ht="28.35" customHeight="1" thickBot="1" x14ac:dyDescent="0.25">
      <c r="B33" s="29" t="s">
        <v>9</v>
      </c>
      <c r="C33" s="151">
        <v>0</v>
      </c>
      <c r="D33" s="77" t="s">
        <v>118</v>
      </c>
      <c r="E33" s="77" t="s">
        <v>118</v>
      </c>
      <c r="F33" s="44">
        <v>4</v>
      </c>
      <c r="G33" s="70">
        <f t="shared" si="1"/>
        <v>1</v>
      </c>
      <c r="K33" s="128"/>
      <c r="L33" s="128"/>
      <c r="M33" s="128"/>
      <c r="N33" s="128"/>
      <c r="O33" s="128"/>
    </row>
    <row r="34" spans="1:15" s="93" customFormat="1" ht="28.35" customHeight="1" thickBot="1" x14ac:dyDescent="0.25">
      <c r="B34" s="29" t="s">
        <v>171</v>
      </c>
      <c r="C34" s="151">
        <v>0</v>
      </c>
      <c r="D34" s="77" t="s">
        <v>118</v>
      </c>
      <c r="E34" s="77" t="s">
        <v>118</v>
      </c>
      <c r="F34" s="44">
        <v>5</v>
      </c>
      <c r="G34" s="70">
        <f t="shared" si="1"/>
        <v>1</v>
      </c>
      <c r="K34" s="128"/>
      <c r="L34" s="128"/>
      <c r="M34" s="128"/>
      <c r="N34" s="128"/>
      <c r="O34" s="128"/>
    </row>
    <row r="35" spans="1:15" s="93" customFormat="1" ht="28.35" customHeight="1" thickBot="1" x14ac:dyDescent="0.25">
      <c r="B35" s="29" t="s">
        <v>11</v>
      </c>
      <c r="C35" s="151">
        <f>SUM(C29:C34)</f>
        <v>27</v>
      </c>
      <c r="D35" s="44">
        <f>SUM(D29:D32)</f>
        <v>13</v>
      </c>
      <c r="E35" s="70">
        <f>D35/F15</f>
        <v>0.48148148148148145</v>
      </c>
      <c r="F35" s="44">
        <f>SUM(F29:F34)</f>
        <v>32</v>
      </c>
      <c r="G35" s="70">
        <f t="shared" si="1"/>
        <v>0.82051282051282048</v>
      </c>
      <c r="K35" s="128"/>
      <c r="L35" s="128"/>
      <c r="M35" s="128"/>
      <c r="N35" s="128"/>
      <c r="O35" s="128"/>
    </row>
    <row r="36" spans="1:15" ht="15.75" x14ac:dyDescent="0.25">
      <c r="B36" s="13"/>
      <c r="C36" s="13"/>
      <c r="D36" s="13"/>
      <c r="E36" s="13"/>
      <c r="F36" s="13"/>
      <c r="I36" s="13"/>
      <c r="K36" s="13"/>
      <c r="L36" s="13"/>
      <c r="M36" s="13"/>
      <c r="N36" s="13"/>
      <c r="O36" s="13"/>
    </row>
    <row r="37" spans="1:15" ht="15.75" x14ac:dyDescent="0.25">
      <c r="A37" s="285" t="s">
        <v>188</v>
      </c>
      <c r="B37" s="285"/>
      <c r="C37" s="285"/>
      <c r="D37" s="285"/>
      <c r="E37" s="285"/>
      <c r="F37" s="285"/>
      <c r="G37" s="285"/>
      <c r="H37" s="285"/>
      <c r="I37" s="13"/>
      <c r="K37" s="13"/>
      <c r="L37" s="13"/>
      <c r="M37" s="13"/>
      <c r="N37" s="13"/>
      <c r="O37" s="13"/>
    </row>
    <row r="38" spans="1:15" ht="15.75" x14ac:dyDescent="0.25">
      <c r="B38" s="13"/>
      <c r="C38" s="13"/>
      <c r="D38" s="13"/>
      <c r="E38" s="13"/>
      <c r="F38" s="13"/>
      <c r="I38" s="13"/>
      <c r="K38" s="13"/>
      <c r="L38" s="13"/>
      <c r="M38" s="13"/>
      <c r="N38" s="13"/>
      <c r="O38" s="13"/>
    </row>
    <row r="39" spans="1:15" ht="15.75" x14ac:dyDescent="0.25">
      <c r="B39" s="13"/>
      <c r="C39" s="13"/>
      <c r="D39" s="13"/>
      <c r="E39" s="13"/>
      <c r="F39" s="13"/>
      <c r="I39" s="13"/>
      <c r="K39" s="13"/>
      <c r="L39" s="13"/>
      <c r="M39" s="13"/>
      <c r="N39" s="13"/>
      <c r="O39" s="13"/>
    </row>
    <row r="40" spans="1:15" ht="15.75" x14ac:dyDescent="0.25">
      <c r="B40" s="13"/>
      <c r="C40" s="13"/>
      <c r="D40" s="13"/>
      <c r="E40" s="13"/>
      <c r="F40" s="13"/>
      <c r="I40" s="13"/>
      <c r="K40" s="13"/>
      <c r="L40" s="13"/>
      <c r="M40" s="13"/>
      <c r="N40" s="13"/>
      <c r="O40" s="13"/>
    </row>
    <row r="41" spans="1:15" ht="15.75" x14ac:dyDescent="0.25">
      <c r="B41" s="13"/>
      <c r="C41" s="13"/>
      <c r="D41" s="13"/>
      <c r="E41" s="13"/>
      <c r="F41" s="13"/>
      <c r="I41" s="13"/>
      <c r="K41" s="13"/>
      <c r="L41" s="13"/>
      <c r="M41" s="13"/>
      <c r="N41" s="13"/>
      <c r="O41" s="13"/>
    </row>
    <row r="42" spans="1:15" ht="15.75" x14ac:dyDescent="0.25">
      <c r="B42" s="13"/>
      <c r="C42" s="13"/>
      <c r="D42" s="13"/>
      <c r="E42" s="13"/>
      <c r="F42" s="13"/>
      <c r="K42" s="13"/>
      <c r="L42" s="13"/>
      <c r="M42" s="13"/>
      <c r="N42" s="13"/>
      <c r="O42" s="13"/>
    </row>
    <row r="43" spans="1:15" ht="15.75" x14ac:dyDescent="0.25">
      <c r="B43" s="13"/>
      <c r="C43" s="13"/>
      <c r="D43" s="13"/>
      <c r="E43" s="13"/>
      <c r="F43" s="13"/>
      <c r="K43" s="13"/>
      <c r="L43" s="13"/>
      <c r="M43" s="13"/>
      <c r="N43" s="13"/>
      <c r="O43" s="13"/>
    </row>
    <row r="44" spans="1:15" ht="15.75" x14ac:dyDescent="0.25">
      <c r="B44" s="13"/>
      <c r="C44" s="13"/>
      <c r="D44" s="13"/>
      <c r="E44" s="13"/>
      <c r="F44" s="13"/>
      <c r="K44" s="13"/>
      <c r="L44" s="13"/>
      <c r="M44" s="13"/>
      <c r="N44" s="13"/>
      <c r="O44" s="13"/>
    </row>
    <row r="45" spans="1:15" ht="15.75" x14ac:dyDescent="0.25">
      <c r="B45" s="13"/>
      <c r="C45" s="13"/>
      <c r="D45" s="13"/>
      <c r="E45" s="13"/>
      <c r="F45" s="13"/>
      <c r="K45" s="13"/>
      <c r="L45" s="13"/>
      <c r="M45" s="13"/>
      <c r="N45" s="13"/>
      <c r="O45" s="13"/>
    </row>
    <row r="46" spans="1:15" ht="15.75" x14ac:dyDescent="0.25">
      <c r="B46" s="13"/>
      <c r="C46" s="13"/>
      <c r="D46" s="13"/>
      <c r="E46" s="13"/>
      <c r="F46" s="13"/>
      <c r="K46" s="13"/>
      <c r="L46" s="13"/>
      <c r="M46" s="13"/>
      <c r="N46" s="13"/>
      <c r="O46" s="13"/>
    </row>
    <row r="47" spans="1:15" ht="15.75" x14ac:dyDescent="0.25">
      <c r="B47" s="13"/>
      <c r="C47" s="13"/>
      <c r="D47" s="13"/>
      <c r="E47" s="13"/>
      <c r="F47" s="13"/>
      <c r="K47" s="13"/>
      <c r="L47" s="13"/>
      <c r="M47" s="13"/>
      <c r="N47" s="13"/>
      <c r="O47" s="13"/>
    </row>
    <row r="48" spans="1:15" ht="15.75" x14ac:dyDescent="0.25">
      <c r="B48" s="13"/>
      <c r="C48" s="13"/>
      <c r="D48" s="13"/>
      <c r="E48" s="13"/>
      <c r="F48" s="13"/>
      <c r="H48">
        <v>27</v>
      </c>
      <c r="K48" s="13"/>
      <c r="L48" s="13"/>
      <c r="M48" s="13"/>
      <c r="N48" s="13"/>
      <c r="O48" s="13"/>
    </row>
    <row r="49" spans="2:15" ht="15.75" x14ac:dyDescent="0.25">
      <c r="B49" s="13"/>
      <c r="C49" s="13"/>
      <c r="D49" s="13"/>
      <c r="E49" s="13"/>
      <c r="F49" s="13"/>
      <c r="K49" s="13"/>
      <c r="L49" s="13"/>
      <c r="M49" s="13"/>
      <c r="N49" s="13"/>
      <c r="O49" s="13"/>
    </row>
    <row r="50" spans="2:15" ht="15.75" x14ac:dyDescent="0.25">
      <c r="B50" s="13"/>
      <c r="C50" s="13"/>
      <c r="D50" s="13"/>
      <c r="E50" s="13"/>
      <c r="F50" s="13"/>
      <c r="I50" s="13"/>
      <c r="K50" s="13"/>
      <c r="L50" s="13"/>
      <c r="M50" s="13"/>
      <c r="N50" s="13"/>
      <c r="O50" s="13"/>
    </row>
    <row r="51" spans="2:15" ht="15.75" x14ac:dyDescent="0.25">
      <c r="B51" s="13"/>
      <c r="C51" s="13"/>
      <c r="D51" s="13"/>
      <c r="E51" s="13"/>
      <c r="F51" s="13"/>
      <c r="I51" s="13"/>
      <c r="K51" s="13"/>
      <c r="L51" s="13"/>
      <c r="M51" s="13"/>
      <c r="N51" s="13"/>
      <c r="O51" s="13"/>
    </row>
    <row r="52" spans="2:15" ht="15.75" x14ac:dyDescent="0.25">
      <c r="B52" s="13"/>
      <c r="C52" s="13"/>
      <c r="D52" s="13"/>
      <c r="E52" s="13"/>
      <c r="F52" s="13"/>
      <c r="I52" s="13"/>
      <c r="J52" s="13"/>
      <c r="K52" s="13"/>
      <c r="L52" s="13"/>
      <c r="M52" s="13"/>
      <c r="N52" s="13"/>
      <c r="O52" s="13"/>
    </row>
    <row r="53" spans="2:15" ht="15.75" x14ac:dyDescent="0.25">
      <c r="B53" s="13"/>
      <c r="C53" s="13"/>
      <c r="D53" s="13"/>
      <c r="E53" s="13"/>
      <c r="F53" s="13"/>
      <c r="I53" s="13"/>
      <c r="J53" s="13"/>
      <c r="K53" s="13"/>
      <c r="L53" s="13"/>
      <c r="M53" s="13"/>
      <c r="N53" s="13"/>
      <c r="O53" s="13"/>
    </row>
    <row r="54" spans="2:15" ht="15.75" x14ac:dyDescent="0.25">
      <c r="C54" s="13"/>
      <c r="D54" s="13"/>
      <c r="E54" s="13"/>
      <c r="F54" s="13"/>
      <c r="G54" s="13"/>
      <c r="H54" s="13"/>
      <c r="I54" s="13"/>
      <c r="J54" s="13"/>
      <c r="K54" s="13"/>
      <c r="L54" s="13"/>
      <c r="M54" s="13"/>
      <c r="N54" s="13"/>
      <c r="O54" s="13"/>
    </row>
    <row r="55" spans="2:15" ht="15.75" x14ac:dyDescent="0.25">
      <c r="C55" s="13"/>
      <c r="D55" s="13"/>
      <c r="E55" s="13"/>
      <c r="F55" s="13"/>
      <c r="G55" s="13"/>
      <c r="H55" s="13"/>
      <c r="I55" s="13"/>
      <c r="J55" s="13"/>
      <c r="K55" s="13"/>
      <c r="L55" s="13"/>
      <c r="M55" s="13"/>
      <c r="N55" s="13"/>
      <c r="O55" s="13"/>
    </row>
    <row r="56" spans="2:15" ht="15.75" x14ac:dyDescent="0.25">
      <c r="C56" s="13"/>
      <c r="D56" s="13"/>
      <c r="E56" s="13"/>
      <c r="F56" s="13"/>
      <c r="G56" s="13"/>
      <c r="H56" s="13"/>
      <c r="I56" s="13"/>
      <c r="J56" s="13"/>
      <c r="K56" s="13"/>
      <c r="L56" s="13"/>
      <c r="M56" s="13"/>
      <c r="N56" s="13"/>
      <c r="O56" s="13"/>
    </row>
    <row r="57" spans="2:15" ht="15.75" x14ac:dyDescent="0.25">
      <c r="C57" s="13"/>
      <c r="D57" s="13"/>
      <c r="E57" s="13"/>
      <c r="F57" s="13"/>
      <c r="G57" s="13"/>
      <c r="H57" s="13"/>
      <c r="I57" s="13"/>
      <c r="J57" s="13"/>
      <c r="K57" s="13"/>
      <c r="L57" s="13"/>
      <c r="M57" s="13"/>
      <c r="N57" s="13"/>
      <c r="O57" s="13"/>
    </row>
    <row r="58" spans="2:15" ht="15.75" x14ac:dyDescent="0.25">
      <c r="C58" s="13"/>
      <c r="D58" s="13"/>
      <c r="E58" s="13"/>
      <c r="F58" s="13"/>
      <c r="G58" s="13"/>
      <c r="H58" s="13"/>
      <c r="I58" s="13"/>
      <c r="J58" s="13"/>
      <c r="K58" s="13"/>
      <c r="L58" s="13"/>
      <c r="M58" s="13"/>
      <c r="N58" s="13"/>
      <c r="O58" s="13"/>
    </row>
    <row r="59" spans="2:15" ht="15.75" x14ac:dyDescent="0.25">
      <c r="C59" s="13"/>
      <c r="D59" s="13"/>
      <c r="E59" s="13"/>
      <c r="F59" s="13"/>
      <c r="G59" s="13"/>
      <c r="H59" s="13"/>
      <c r="I59" s="13"/>
      <c r="J59" s="13"/>
      <c r="K59" s="13"/>
      <c r="L59" s="13"/>
      <c r="M59" s="13"/>
      <c r="N59" s="13"/>
      <c r="O59" s="13"/>
    </row>
    <row r="60" spans="2:15" ht="15.75" x14ac:dyDescent="0.25">
      <c r="C60" s="13"/>
      <c r="D60" s="13"/>
      <c r="E60" s="13"/>
      <c r="F60" s="13"/>
      <c r="G60" s="13"/>
      <c r="H60" s="13"/>
      <c r="I60" s="13"/>
      <c r="J60" s="13"/>
      <c r="K60" s="13"/>
      <c r="L60" s="13"/>
      <c r="M60" s="13"/>
      <c r="N60" s="13"/>
      <c r="O60" s="13"/>
    </row>
    <row r="61" spans="2:15" ht="15.75" x14ac:dyDescent="0.25">
      <c r="C61" s="13"/>
      <c r="D61" s="13"/>
      <c r="E61" s="13"/>
      <c r="F61" s="13"/>
      <c r="G61" s="13"/>
      <c r="H61" s="13"/>
      <c r="I61" s="13"/>
      <c r="J61" s="13"/>
      <c r="K61" s="13"/>
      <c r="L61" s="13"/>
      <c r="M61" s="13"/>
      <c r="N61" s="13"/>
      <c r="O61" s="13"/>
    </row>
    <row r="62" spans="2:15" ht="15.75" x14ac:dyDescent="0.25">
      <c r="C62" s="13"/>
      <c r="D62" s="13"/>
      <c r="E62" s="13"/>
      <c r="F62" s="13"/>
      <c r="G62" s="13"/>
      <c r="H62" s="13"/>
      <c r="I62" s="13"/>
      <c r="J62" s="13"/>
      <c r="K62" s="13"/>
      <c r="L62" s="13"/>
      <c r="M62" s="13"/>
      <c r="N62" s="13"/>
      <c r="O62" s="13"/>
    </row>
    <row r="63" spans="2:15" ht="15.75" x14ac:dyDescent="0.25">
      <c r="C63" s="13"/>
      <c r="D63" s="13"/>
      <c r="E63" s="13"/>
      <c r="F63" s="13"/>
      <c r="G63" s="13"/>
      <c r="H63" s="13"/>
      <c r="I63" s="13"/>
      <c r="J63" s="13"/>
      <c r="K63" s="13"/>
      <c r="L63" s="13"/>
      <c r="M63" s="13"/>
      <c r="N63" s="13"/>
      <c r="O63" s="13"/>
    </row>
    <row r="64" spans="2:15" ht="15.75" x14ac:dyDescent="0.25">
      <c r="C64" s="13"/>
      <c r="D64" s="13"/>
      <c r="E64" s="13"/>
      <c r="F64" s="13"/>
      <c r="G64" s="13"/>
      <c r="H64" s="13"/>
      <c r="I64" s="13"/>
      <c r="J64" s="13"/>
      <c r="K64" s="13"/>
      <c r="L64" s="13"/>
      <c r="M64" s="13"/>
      <c r="N64" s="13"/>
      <c r="O64" s="13"/>
    </row>
    <row r="65" spans="3:15" ht="15.75" x14ac:dyDescent="0.25">
      <c r="C65" s="13"/>
      <c r="D65" s="13"/>
      <c r="E65" s="13"/>
      <c r="F65" s="13"/>
      <c r="G65" s="13"/>
      <c r="H65" s="13"/>
      <c r="I65" s="13"/>
      <c r="J65" s="13"/>
      <c r="K65" s="13"/>
      <c r="L65" s="13"/>
      <c r="M65" s="13"/>
      <c r="N65" s="13"/>
      <c r="O65" s="13"/>
    </row>
    <row r="66" spans="3:15" ht="15.75" x14ac:dyDescent="0.25">
      <c r="C66" s="13"/>
      <c r="D66" s="13"/>
      <c r="E66" s="13"/>
      <c r="F66" s="13"/>
      <c r="G66" s="13"/>
      <c r="H66" s="13"/>
      <c r="I66" s="13"/>
      <c r="J66" s="13"/>
      <c r="K66" s="13"/>
      <c r="L66" s="13"/>
      <c r="M66" s="13"/>
      <c r="N66" s="13"/>
      <c r="O66" s="13"/>
    </row>
    <row r="67" spans="3:15" ht="15.75" x14ac:dyDescent="0.25">
      <c r="C67" s="13"/>
      <c r="D67" s="13"/>
      <c r="E67" s="13"/>
      <c r="F67" s="13"/>
      <c r="G67" s="13"/>
      <c r="H67" s="13"/>
      <c r="I67" s="13"/>
      <c r="J67" s="13"/>
      <c r="K67" s="13"/>
      <c r="L67" s="13"/>
      <c r="M67" s="13"/>
      <c r="N67" s="13"/>
      <c r="O67" s="13"/>
    </row>
    <row r="68" spans="3:15" ht="15.75" x14ac:dyDescent="0.25">
      <c r="C68" s="13"/>
      <c r="D68" s="13"/>
      <c r="E68" s="13"/>
      <c r="F68" s="13"/>
      <c r="G68" s="13"/>
      <c r="H68" s="13"/>
      <c r="I68" s="13"/>
      <c r="J68" s="13"/>
      <c r="K68" s="13"/>
      <c r="L68" s="13"/>
      <c r="M68" s="13"/>
      <c r="N68" s="13"/>
      <c r="O68" s="13"/>
    </row>
    <row r="69" spans="3:15" ht="15.75" x14ac:dyDescent="0.25">
      <c r="C69" s="13"/>
      <c r="D69" s="13"/>
      <c r="E69" s="13"/>
      <c r="F69" s="13"/>
      <c r="G69" s="13"/>
      <c r="H69" s="13"/>
      <c r="I69" s="13"/>
      <c r="J69" s="13"/>
      <c r="K69" s="13"/>
      <c r="L69" s="13"/>
      <c r="M69" s="13"/>
      <c r="N69" s="13"/>
      <c r="O69" s="13"/>
    </row>
    <row r="70" spans="3:15" ht="15.75" x14ac:dyDescent="0.25">
      <c r="C70" s="13"/>
      <c r="D70" s="13"/>
      <c r="E70" s="13"/>
      <c r="F70" s="13"/>
      <c r="G70" s="13"/>
      <c r="H70" s="13"/>
      <c r="I70" s="13"/>
      <c r="J70" s="13"/>
      <c r="K70" s="13"/>
      <c r="L70" s="13"/>
      <c r="M70" s="13"/>
      <c r="N70" s="13"/>
      <c r="O70" s="13"/>
    </row>
    <row r="71" spans="3:15" ht="15.75" x14ac:dyDescent="0.25">
      <c r="C71" s="13"/>
      <c r="D71" s="13"/>
      <c r="E71" s="13"/>
      <c r="F71" s="13"/>
      <c r="G71" s="13"/>
      <c r="H71" s="13"/>
      <c r="I71" s="13"/>
      <c r="J71" s="13"/>
      <c r="K71" s="13"/>
      <c r="L71" s="13"/>
      <c r="M71" s="13"/>
      <c r="N71" s="13"/>
      <c r="O71" s="13"/>
    </row>
    <row r="72" spans="3:15" ht="15.75" x14ac:dyDescent="0.25">
      <c r="C72" s="13"/>
      <c r="D72" s="13"/>
      <c r="E72" s="13"/>
      <c r="F72" s="13"/>
      <c r="G72" s="13"/>
      <c r="H72" s="13"/>
      <c r="I72" s="13"/>
      <c r="J72" s="13"/>
      <c r="K72" s="13"/>
      <c r="L72" s="13"/>
      <c r="M72" s="13"/>
      <c r="N72" s="13"/>
      <c r="O72" s="13"/>
    </row>
    <row r="73" spans="3:15" ht="15.75" x14ac:dyDescent="0.25">
      <c r="C73" s="13"/>
      <c r="D73" s="13"/>
      <c r="E73" s="13"/>
      <c r="F73" s="13"/>
      <c r="G73" s="13"/>
      <c r="H73" s="13"/>
      <c r="I73" s="13"/>
      <c r="J73" s="13"/>
      <c r="K73" s="13"/>
      <c r="L73" s="13"/>
      <c r="M73" s="13"/>
      <c r="N73" s="13"/>
      <c r="O73" s="13"/>
    </row>
    <row r="74" spans="3:15" ht="15.75" x14ac:dyDescent="0.25">
      <c r="C74" s="13"/>
      <c r="D74" s="13"/>
      <c r="E74" s="13"/>
      <c r="F74" s="13"/>
      <c r="G74" s="13"/>
      <c r="H74" s="13"/>
      <c r="I74" s="13"/>
      <c r="J74" s="13"/>
      <c r="K74" s="13"/>
      <c r="L74" s="13"/>
      <c r="M74" s="13"/>
      <c r="N74" s="13"/>
      <c r="O74" s="13"/>
    </row>
    <row r="75" spans="3:15" ht="15.75" x14ac:dyDescent="0.25">
      <c r="C75" s="13"/>
      <c r="D75" s="13"/>
      <c r="E75" s="13"/>
      <c r="F75" s="13"/>
      <c r="G75" s="13"/>
      <c r="H75" s="13"/>
      <c r="I75" s="13"/>
      <c r="J75" s="13"/>
      <c r="K75" s="13"/>
      <c r="L75" s="13"/>
      <c r="M75" s="13"/>
      <c r="N75" s="13"/>
      <c r="O75" s="13"/>
    </row>
    <row r="76" spans="3:15" ht="15.75" x14ac:dyDescent="0.25">
      <c r="C76" s="13"/>
      <c r="D76" s="13"/>
      <c r="E76" s="13"/>
      <c r="F76" s="13"/>
      <c r="G76" s="13"/>
      <c r="H76" s="13"/>
      <c r="I76" s="13"/>
      <c r="J76" s="13"/>
      <c r="K76" s="13"/>
      <c r="L76" s="13"/>
      <c r="M76" s="13"/>
      <c r="N76" s="13"/>
      <c r="O76" s="13"/>
    </row>
    <row r="77" spans="3:15" ht="15.75" x14ac:dyDescent="0.25">
      <c r="C77" s="13"/>
      <c r="D77" s="13"/>
      <c r="E77" s="13"/>
      <c r="F77" s="13"/>
      <c r="G77" s="13"/>
      <c r="H77" s="13"/>
      <c r="I77" s="13"/>
      <c r="J77" s="13"/>
      <c r="K77" s="13"/>
      <c r="L77" s="13"/>
      <c r="M77" s="13"/>
      <c r="N77" s="13"/>
      <c r="O77" s="13"/>
    </row>
    <row r="78" spans="3:15" ht="15.75" x14ac:dyDescent="0.25">
      <c r="C78" s="13"/>
      <c r="D78" s="13"/>
      <c r="E78" s="13"/>
      <c r="F78" s="13"/>
      <c r="G78" s="13"/>
      <c r="H78" s="13"/>
      <c r="I78" s="13"/>
      <c r="J78" s="13"/>
      <c r="K78" s="13"/>
      <c r="L78" s="13"/>
      <c r="M78" s="13"/>
      <c r="N78" s="13"/>
      <c r="O78" s="13"/>
    </row>
    <row r="79" spans="3:15" ht="15.75" x14ac:dyDescent="0.25">
      <c r="C79" s="13"/>
      <c r="D79" s="13"/>
      <c r="E79" s="13"/>
      <c r="F79" s="13"/>
      <c r="G79" s="13"/>
      <c r="H79" s="13"/>
      <c r="I79" s="13"/>
      <c r="J79" s="13"/>
      <c r="K79" s="13"/>
      <c r="L79" s="13"/>
      <c r="M79" s="13"/>
      <c r="N79" s="13"/>
      <c r="O79" s="13"/>
    </row>
    <row r="80" spans="3:15" ht="15.75" x14ac:dyDescent="0.25">
      <c r="C80" s="13"/>
      <c r="D80" s="13"/>
      <c r="E80" s="13"/>
      <c r="F80" s="13"/>
      <c r="G80" s="13"/>
      <c r="H80" s="13"/>
      <c r="I80" s="13"/>
      <c r="J80" s="13"/>
      <c r="K80" s="13"/>
      <c r="L80" s="13"/>
      <c r="M80" s="13"/>
      <c r="N80" s="13"/>
      <c r="O80" s="13"/>
    </row>
    <row r="81" spans="3:15" ht="15.75" x14ac:dyDescent="0.25">
      <c r="C81" s="13"/>
      <c r="D81" s="13"/>
      <c r="E81" s="13"/>
      <c r="F81" s="13"/>
      <c r="G81" s="13"/>
      <c r="H81" s="13"/>
      <c r="I81" s="13"/>
      <c r="J81" s="13"/>
      <c r="K81" s="13"/>
      <c r="L81" s="13"/>
      <c r="M81" s="13"/>
      <c r="N81" s="13"/>
      <c r="O81" s="13"/>
    </row>
    <row r="82" spans="3:15" ht="15.75" x14ac:dyDescent="0.25">
      <c r="C82" s="13"/>
      <c r="D82" s="13"/>
      <c r="E82" s="13"/>
      <c r="F82" s="13"/>
      <c r="G82" s="13"/>
      <c r="H82" s="13"/>
      <c r="I82" s="13"/>
      <c r="J82" s="13"/>
      <c r="K82" s="13"/>
      <c r="L82" s="13"/>
      <c r="M82" s="13"/>
      <c r="N82" s="13"/>
      <c r="O82" s="13"/>
    </row>
    <row r="83" spans="3:15" ht="15.75" x14ac:dyDescent="0.25">
      <c r="C83" s="13"/>
      <c r="D83" s="13"/>
      <c r="E83" s="13"/>
      <c r="F83" s="13"/>
      <c r="G83" s="13"/>
      <c r="H83" s="13"/>
      <c r="I83" s="13"/>
      <c r="J83" s="13"/>
      <c r="K83" s="13"/>
      <c r="L83" s="13"/>
      <c r="M83" s="13"/>
      <c r="N83" s="13"/>
      <c r="O83" s="13"/>
    </row>
    <row r="84" spans="3:15" ht="15.75" x14ac:dyDescent="0.25">
      <c r="C84" s="13"/>
      <c r="D84" s="13"/>
      <c r="E84" s="13"/>
      <c r="F84" s="13"/>
      <c r="G84" s="13"/>
      <c r="H84" s="13"/>
      <c r="I84" s="13"/>
      <c r="J84" s="13"/>
      <c r="K84" s="13"/>
      <c r="L84" s="13"/>
      <c r="M84" s="13"/>
      <c r="N84" s="13"/>
      <c r="O84" s="13"/>
    </row>
    <row r="85" spans="3:15" ht="15.75" x14ac:dyDescent="0.25">
      <c r="C85" s="13"/>
      <c r="D85" s="13"/>
      <c r="E85" s="13"/>
      <c r="F85" s="13"/>
      <c r="G85" s="13"/>
      <c r="H85" s="13"/>
      <c r="I85" s="13"/>
      <c r="J85" s="13"/>
      <c r="K85" s="13"/>
      <c r="L85" s="13"/>
      <c r="M85" s="13"/>
      <c r="N85" s="13"/>
      <c r="O85" s="13"/>
    </row>
    <row r="86" spans="3:15" ht="15.75" x14ac:dyDescent="0.25">
      <c r="C86" s="13"/>
      <c r="D86" s="13"/>
      <c r="E86" s="13"/>
      <c r="F86" s="13"/>
      <c r="G86" s="13"/>
      <c r="H86" s="13"/>
      <c r="I86" s="13"/>
      <c r="J86" s="13"/>
      <c r="K86" s="13"/>
      <c r="L86" s="13"/>
      <c r="M86" s="13"/>
      <c r="N86" s="13"/>
      <c r="O86" s="13"/>
    </row>
    <row r="87" spans="3:15" ht="15.75" x14ac:dyDescent="0.25">
      <c r="C87" s="13"/>
      <c r="D87" s="13"/>
      <c r="E87" s="13"/>
      <c r="F87" s="13"/>
      <c r="G87" s="13"/>
      <c r="H87" s="13"/>
      <c r="I87" s="13"/>
      <c r="J87" s="13"/>
      <c r="K87" s="13"/>
      <c r="L87" s="13"/>
      <c r="M87" s="13"/>
      <c r="N87" s="13"/>
      <c r="O87" s="13"/>
    </row>
    <row r="88" spans="3:15" ht="15.75" x14ac:dyDescent="0.25">
      <c r="C88" s="13"/>
      <c r="D88" s="13"/>
      <c r="E88" s="13"/>
      <c r="F88" s="13"/>
      <c r="G88" s="13"/>
      <c r="H88" s="13"/>
      <c r="I88" s="13"/>
      <c r="J88" s="13"/>
      <c r="K88" s="13"/>
      <c r="L88" s="13"/>
      <c r="M88" s="13"/>
      <c r="N88" s="13"/>
      <c r="O88" s="13"/>
    </row>
    <row r="89" spans="3:15" ht="15.75" x14ac:dyDescent="0.25">
      <c r="C89" s="13"/>
      <c r="D89" s="13"/>
      <c r="E89" s="13"/>
      <c r="F89" s="13"/>
      <c r="G89" s="13"/>
      <c r="H89" s="13"/>
      <c r="I89" s="13"/>
      <c r="J89" s="13"/>
      <c r="K89" s="13"/>
      <c r="L89" s="13"/>
      <c r="M89" s="13"/>
      <c r="N89" s="13"/>
      <c r="O89" s="13"/>
    </row>
    <row r="90" spans="3:15" ht="15.75" x14ac:dyDescent="0.25">
      <c r="C90" s="13"/>
      <c r="D90" s="13"/>
      <c r="E90" s="13"/>
      <c r="F90" s="13"/>
      <c r="G90" s="13"/>
      <c r="H90" s="13"/>
      <c r="I90" s="13"/>
      <c r="J90" s="13"/>
      <c r="K90" s="13"/>
      <c r="L90" s="13"/>
      <c r="M90" s="13"/>
      <c r="N90" s="13"/>
      <c r="O90" s="13"/>
    </row>
    <row r="91" spans="3:15" ht="15.75" x14ac:dyDescent="0.25">
      <c r="C91" s="13"/>
      <c r="D91" s="13"/>
      <c r="E91" s="13"/>
      <c r="F91" s="13"/>
      <c r="G91" s="13"/>
      <c r="H91" s="13"/>
      <c r="I91" s="13"/>
      <c r="J91" s="13"/>
      <c r="K91" s="13"/>
      <c r="L91" s="13"/>
      <c r="M91" s="13"/>
      <c r="N91" s="13"/>
      <c r="O91" s="13"/>
    </row>
    <row r="92" spans="3:15" ht="15.75" x14ac:dyDescent="0.25">
      <c r="C92" s="13"/>
      <c r="D92" s="13"/>
      <c r="E92" s="13"/>
      <c r="F92" s="13"/>
      <c r="G92" s="13"/>
      <c r="H92" s="13"/>
      <c r="I92" s="13"/>
      <c r="J92" s="13"/>
      <c r="K92" s="13"/>
      <c r="L92" s="13"/>
      <c r="M92" s="13"/>
      <c r="N92" s="13"/>
      <c r="O92" s="13"/>
    </row>
    <row r="93" spans="3:15" ht="15.75" x14ac:dyDescent="0.25">
      <c r="C93" s="13"/>
      <c r="D93" s="13"/>
      <c r="E93" s="13"/>
      <c r="F93" s="13"/>
      <c r="G93" s="13"/>
      <c r="H93" s="13"/>
      <c r="I93" s="13"/>
      <c r="J93" s="13"/>
      <c r="K93" s="13"/>
      <c r="L93" s="13"/>
      <c r="M93" s="13"/>
      <c r="N93" s="13"/>
      <c r="O93" s="13"/>
    </row>
    <row r="94" spans="3:15" ht="15.75" x14ac:dyDescent="0.25">
      <c r="C94" s="13"/>
      <c r="D94" s="13"/>
      <c r="E94" s="13"/>
      <c r="F94" s="13"/>
      <c r="G94" s="13"/>
      <c r="H94" s="13"/>
      <c r="I94" s="13"/>
      <c r="J94" s="13"/>
      <c r="K94" s="13"/>
      <c r="L94" s="13"/>
      <c r="M94" s="13"/>
      <c r="N94" s="13"/>
      <c r="O94" s="13"/>
    </row>
    <row r="95" spans="3:15" ht="15.75" x14ac:dyDescent="0.25">
      <c r="C95" s="13"/>
      <c r="D95" s="13"/>
      <c r="E95" s="13"/>
      <c r="F95" s="13"/>
      <c r="G95" s="13"/>
      <c r="H95" s="13"/>
      <c r="I95" s="13"/>
      <c r="J95" s="13"/>
      <c r="K95" s="13"/>
      <c r="L95" s="13"/>
      <c r="M95" s="13"/>
      <c r="N95" s="13"/>
      <c r="O95" s="13"/>
    </row>
    <row r="96" spans="3:15" ht="15.75" x14ac:dyDescent="0.25">
      <c r="C96" s="13"/>
      <c r="D96" s="13"/>
      <c r="E96" s="13"/>
      <c r="F96" s="13"/>
      <c r="G96" s="13"/>
      <c r="H96" s="13"/>
      <c r="I96" s="13"/>
      <c r="J96" s="13"/>
      <c r="K96" s="13"/>
      <c r="L96" s="13"/>
      <c r="M96" s="13"/>
      <c r="N96" s="13"/>
      <c r="O96" s="13"/>
    </row>
    <row r="97" spans="3:15" ht="15.75" x14ac:dyDescent="0.25">
      <c r="C97" s="13"/>
      <c r="D97" s="13"/>
      <c r="E97" s="13"/>
      <c r="F97" s="13"/>
      <c r="G97" s="13"/>
      <c r="H97" s="13"/>
      <c r="I97" s="13"/>
      <c r="J97" s="13"/>
      <c r="K97" s="13"/>
      <c r="L97" s="13"/>
      <c r="M97" s="13"/>
      <c r="N97" s="13"/>
      <c r="O97" s="13"/>
    </row>
    <row r="98" spans="3:15" ht="15.75" x14ac:dyDescent="0.25">
      <c r="C98" s="13"/>
      <c r="D98" s="13"/>
      <c r="E98" s="13"/>
      <c r="F98" s="13"/>
      <c r="G98" s="13"/>
      <c r="H98" s="13"/>
      <c r="I98" s="13"/>
      <c r="J98" s="13"/>
      <c r="K98" s="13"/>
      <c r="L98" s="13"/>
      <c r="M98" s="13"/>
      <c r="N98" s="13"/>
      <c r="O98" s="13"/>
    </row>
    <row r="99" spans="3:15" ht="15.75" x14ac:dyDescent="0.25">
      <c r="C99" s="13"/>
      <c r="D99" s="13"/>
      <c r="E99" s="13"/>
      <c r="F99" s="13"/>
      <c r="G99" s="13"/>
      <c r="H99" s="13"/>
      <c r="I99" s="13"/>
      <c r="J99" s="13"/>
      <c r="K99" s="13"/>
      <c r="L99" s="13"/>
      <c r="M99" s="13"/>
      <c r="N99" s="13"/>
      <c r="O99" s="13"/>
    </row>
    <row r="100" spans="3:15" ht="15.75" x14ac:dyDescent="0.25">
      <c r="C100" s="13"/>
      <c r="D100" s="13"/>
      <c r="E100" s="13"/>
      <c r="F100" s="13"/>
      <c r="G100" s="13"/>
      <c r="H100" s="13"/>
      <c r="I100" s="13"/>
      <c r="J100" s="13"/>
      <c r="K100" s="13"/>
      <c r="L100" s="13"/>
      <c r="M100" s="13"/>
      <c r="N100" s="13"/>
      <c r="O100" s="13"/>
    </row>
    <row r="101" spans="3:15" ht="15.75" x14ac:dyDescent="0.25">
      <c r="C101" s="13"/>
      <c r="D101" s="13"/>
      <c r="E101" s="13"/>
      <c r="F101" s="13"/>
      <c r="G101" s="13"/>
      <c r="H101" s="13"/>
      <c r="I101" s="13"/>
      <c r="J101" s="13"/>
      <c r="K101" s="13"/>
      <c r="L101" s="13"/>
      <c r="M101" s="13"/>
      <c r="N101" s="13"/>
      <c r="O101" s="13"/>
    </row>
    <row r="102" spans="3:15" ht="15.75" x14ac:dyDescent="0.25">
      <c r="C102" s="13"/>
      <c r="D102" s="13"/>
      <c r="E102" s="13"/>
      <c r="F102" s="13"/>
      <c r="G102" s="13"/>
      <c r="H102" s="13"/>
      <c r="I102" s="13"/>
      <c r="J102" s="13"/>
      <c r="K102" s="13"/>
      <c r="L102" s="13"/>
      <c r="M102" s="13"/>
      <c r="N102" s="13"/>
      <c r="O102" s="13"/>
    </row>
    <row r="103" spans="3:15" ht="15.75" x14ac:dyDescent="0.25">
      <c r="C103" s="13"/>
      <c r="D103" s="13"/>
      <c r="E103" s="13"/>
      <c r="F103" s="13"/>
      <c r="G103" s="13"/>
      <c r="H103" s="13"/>
      <c r="I103" s="13"/>
      <c r="J103" s="13"/>
      <c r="K103" s="13"/>
      <c r="L103" s="13"/>
      <c r="M103" s="13"/>
      <c r="N103" s="13"/>
      <c r="O103" s="13"/>
    </row>
    <row r="104" spans="3:15" ht="15.75" x14ac:dyDescent="0.25">
      <c r="C104" s="13"/>
      <c r="D104" s="13"/>
      <c r="E104" s="13"/>
      <c r="F104" s="13"/>
      <c r="G104" s="13"/>
      <c r="H104" s="13"/>
      <c r="I104" s="13"/>
      <c r="J104" s="13"/>
      <c r="K104" s="13"/>
      <c r="L104" s="13"/>
      <c r="M104" s="13"/>
      <c r="N104" s="13"/>
      <c r="O104" s="13"/>
    </row>
    <row r="105" spans="3:15" ht="15.75" x14ac:dyDescent="0.25">
      <c r="C105" s="13"/>
      <c r="D105" s="13"/>
      <c r="E105" s="13"/>
      <c r="F105" s="13"/>
      <c r="G105" s="13"/>
      <c r="H105" s="13"/>
      <c r="I105" s="13"/>
      <c r="J105" s="13"/>
      <c r="K105" s="13"/>
      <c r="L105" s="13"/>
      <c r="M105" s="13"/>
      <c r="N105" s="13"/>
      <c r="O105" s="13"/>
    </row>
    <row r="106" spans="3:15" ht="15.75" x14ac:dyDescent="0.25">
      <c r="C106" s="13"/>
      <c r="D106" s="13"/>
      <c r="E106" s="13"/>
      <c r="F106" s="13"/>
      <c r="G106" s="13"/>
      <c r="H106" s="13"/>
      <c r="I106" s="13"/>
      <c r="J106" s="13"/>
      <c r="K106" s="13"/>
      <c r="L106" s="13"/>
      <c r="M106" s="13"/>
      <c r="N106" s="13"/>
      <c r="O106" s="13"/>
    </row>
    <row r="107" spans="3:15" ht="15.75" x14ac:dyDescent="0.25">
      <c r="C107" s="13"/>
      <c r="D107" s="13"/>
      <c r="E107" s="13"/>
      <c r="F107" s="13"/>
      <c r="G107" s="13"/>
      <c r="H107" s="13"/>
      <c r="I107" s="13"/>
      <c r="J107" s="13"/>
      <c r="K107" s="13"/>
      <c r="L107" s="13"/>
      <c r="M107" s="13"/>
      <c r="N107" s="13"/>
      <c r="O107" s="13"/>
    </row>
    <row r="108" spans="3:15" ht="15.75" x14ac:dyDescent="0.25">
      <c r="C108" s="13"/>
      <c r="D108" s="13"/>
      <c r="E108" s="13"/>
      <c r="F108" s="13"/>
      <c r="G108" s="13"/>
      <c r="H108" s="13"/>
      <c r="I108" s="13"/>
      <c r="J108" s="13"/>
      <c r="K108" s="13"/>
      <c r="L108" s="13"/>
      <c r="M108" s="13"/>
      <c r="N108" s="13"/>
      <c r="O108" s="13"/>
    </row>
    <row r="109" spans="3:15" ht="15.75" x14ac:dyDescent="0.25">
      <c r="C109" s="13"/>
      <c r="D109" s="13"/>
      <c r="E109" s="13"/>
      <c r="F109" s="13"/>
      <c r="G109" s="13"/>
      <c r="H109" s="13"/>
      <c r="I109" s="13"/>
      <c r="J109" s="13"/>
      <c r="K109" s="13"/>
      <c r="L109" s="13"/>
      <c r="M109" s="13"/>
      <c r="N109" s="13"/>
      <c r="O109" s="13"/>
    </row>
    <row r="110" spans="3:15" ht="15.75" x14ac:dyDescent="0.25">
      <c r="C110" s="13"/>
      <c r="D110" s="13"/>
      <c r="E110" s="13"/>
      <c r="F110" s="13"/>
      <c r="G110" s="13"/>
      <c r="H110" s="13"/>
      <c r="I110" s="13"/>
      <c r="J110" s="13"/>
      <c r="K110" s="13"/>
      <c r="L110" s="13"/>
      <c r="M110" s="13"/>
      <c r="N110" s="13"/>
      <c r="O110" s="13"/>
    </row>
    <row r="111" spans="3:15" ht="15.75" x14ac:dyDescent="0.25">
      <c r="C111" s="13"/>
      <c r="D111" s="13"/>
      <c r="E111" s="13"/>
      <c r="F111" s="13"/>
      <c r="G111" s="13"/>
      <c r="H111" s="13"/>
      <c r="I111" s="13"/>
      <c r="J111" s="13"/>
      <c r="K111" s="13"/>
      <c r="L111" s="13"/>
      <c r="M111" s="13"/>
      <c r="N111" s="13"/>
      <c r="O111" s="13"/>
    </row>
    <row r="112" spans="3:15" ht="15.75" x14ac:dyDescent="0.25">
      <c r="C112" s="13"/>
      <c r="D112" s="13"/>
      <c r="E112" s="13"/>
      <c r="F112" s="13"/>
      <c r="G112" s="13"/>
      <c r="H112" s="13"/>
      <c r="I112" s="13"/>
      <c r="J112" s="13"/>
      <c r="K112" s="13"/>
      <c r="L112" s="13"/>
      <c r="M112" s="13"/>
      <c r="N112" s="13"/>
      <c r="O112" s="13"/>
    </row>
    <row r="113" spans="3:15" ht="15.75" x14ac:dyDescent="0.25">
      <c r="C113" s="13"/>
      <c r="D113" s="13"/>
      <c r="E113" s="13"/>
      <c r="F113" s="13"/>
      <c r="G113" s="13"/>
      <c r="H113" s="13"/>
      <c r="I113" s="13"/>
      <c r="J113" s="13"/>
      <c r="K113" s="13"/>
      <c r="L113" s="13"/>
      <c r="M113" s="13"/>
      <c r="N113" s="13"/>
      <c r="O113" s="13"/>
    </row>
    <row r="114" spans="3:15" ht="15.75" x14ac:dyDescent="0.25">
      <c r="C114" s="13"/>
      <c r="D114" s="13"/>
      <c r="E114" s="13"/>
      <c r="F114" s="13"/>
      <c r="G114" s="13"/>
      <c r="H114" s="13"/>
      <c r="I114" s="13"/>
      <c r="J114" s="13"/>
      <c r="K114" s="13"/>
      <c r="L114" s="13"/>
      <c r="M114" s="13"/>
      <c r="N114" s="13"/>
      <c r="O114" s="13"/>
    </row>
    <row r="115" spans="3:15" ht="15.75" x14ac:dyDescent="0.25">
      <c r="C115" s="13"/>
      <c r="D115" s="13"/>
      <c r="E115" s="13"/>
      <c r="F115" s="13"/>
      <c r="G115" s="13"/>
      <c r="H115" s="13"/>
      <c r="I115" s="13"/>
      <c r="J115" s="13"/>
      <c r="K115" s="13"/>
      <c r="L115" s="13"/>
      <c r="M115" s="13"/>
      <c r="N115" s="13"/>
      <c r="O115" s="13"/>
    </row>
    <row r="116" spans="3:15" ht="15.75" x14ac:dyDescent="0.25">
      <c r="C116" s="13"/>
      <c r="D116" s="13"/>
      <c r="E116" s="13"/>
      <c r="F116" s="13"/>
      <c r="G116" s="13"/>
      <c r="H116" s="13"/>
      <c r="I116" s="13"/>
      <c r="J116" s="13"/>
      <c r="K116" s="13"/>
      <c r="L116" s="13"/>
      <c r="M116" s="13"/>
      <c r="N116" s="13"/>
      <c r="O116" s="13"/>
    </row>
    <row r="117" spans="3:15" ht="15.75" x14ac:dyDescent="0.25">
      <c r="C117" s="13"/>
      <c r="D117" s="13"/>
      <c r="E117" s="13"/>
      <c r="F117" s="13"/>
      <c r="G117" s="13"/>
      <c r="H117" s="13"/>
      <c r="I117" s="13"/>
      <c r="J117" s="13"/>
      <c r="K117" s="13"/>
      <c r="L117" s="13"/>
      <c r="M117" s="13"/>
      <c r="N117" s="13"/>
      <c r="O117" s="13"/>
    </row>
    <row r="118" spans="3:15" ht="15.75" x14ac:dyDescent="0.25">
      <c r="C118" s="13"/>
      <c r="D118" s="13"/>
      <c r="E118" s="13"/>
      <c r="F118" s="13"/>
      <c r="G118" s="13"/>
      <c r="H118" s="13"/>
      <c r="I118" s="13"/>
      <c r="J118" s="13"/>
      <c r="K118" s="13"/>
      <c r="L118" s="13"/>
      <c r="M118" s="13"/>
      <c r="N118" s="13"/>
      <c r="O118" s="13"/>
    </row>
    <row r="119" spans="3:15" ht="15.75" x14ac:dyDescent="0.25">
      <c r="C119" s="13"/>
      <c r="D119" s="13"/>
      <c r="E119" s="13"/>
      <c r="F119" s="13"/>
      <c r="G119" s="13"/>
      <c r="H119" s="13"/>
      <c r="I119" s="13"/>
      <c r="J119" s="13"/>
      <c r="K119" s="13"/>
      <c r="L119" s="13"/>
      <c r="M119" s="13"/>
      <c r="N119" s="13"/>
      <c r="O119" s="13"/>
    </row>
    <row r="120" spans="3:15" ht="15.75" x14ac:dyDescent="0.25">
      <c r="C120" s="13"/>
      <c r="D120" s="13"/>
      <c r="E120" s="13"/>
      <c r="F120" s="13"/>
      <c r="G120" s="13"/>
      <c r="H120" s="13"/>
      <c r="I120" s="13"/>
      <c r="J120" s="13"/>
      <c r="K120" s="13"/>
      <c r="L120" s="13"/>
      <c r="M120" s="13"/>
      <c r="N120" s="13"/>
      <c r="O120" s="13"/>
    </row>
    <row r="121" spans="3:15" ht="15.75" x14ac:dyDescent="0.25">
      <c r="C121" s="13"/>
      <c r="D121" s="13"/>
      <c r="E121" s="13"/>
      <c r="F121" s="13"/>
      <c r="G121" s="13"/>
      <c r="H121" s="13"/>
      <c r="I121" s="13"/>
      <c r="J121" s="13"/>
      <c r="K121" s="13"/>
      <c r="L121" s="13"/>
      <c r="M121" s="13"/>
      <c r="N121" s="13"/>
      <c r="O121" s="13"/>
    </row>
    <row r="122" spans="3:15" ht="15.75" x14ac:dyDescent="0.25">
      <c r="C122" s="13"/>
      <c r="D122" s="13"/>
      <c r="E122" s="13"/>
      <c r="F122" s="13"/>
      <c r="G122" s="13"/>
      <c r="H122" s="13"/>
      <c r="I122" s="13"/>
      <c r="J122" s="13"/>
      <c r="K122" s="13"/>
      <c r="L122" s="13"/>
      <c r="M122" s="13"/>
      <c r="N122" s="13"/>
      <c r="O122" s="13"/>
    </row>
    <row r="123" spans="3:15" ht="15.75" x14ac:dyDescent="0.25">
      <c r="C123" s="13"/>
      <c r="D123" s="13"/>
      <c r="E123" s="13"/>
      <c r="F123" s="13"/>
      <c r="G123" s="13"/>
      <c r="H123" s="13"/>
      <c r="I123" s="13"/>
      <c r="J123" s="13"/>
      <c r="K123" s="13"/>
      <c r="L123" s="13"/>
      <c r="M123" s="13"/>
      <c r="N123" s="13"/>
      <c r="O123" s="13"/>
    </row>
    <row r="124" spans="3:15" ht="15.75" x14ac:dyDescent="0.25">
      <c r="C124" s="13"/>
      <c r="D124" s="13"/>
      <c r="E124" s="13"/>
      <c r="F124" s="13"/>
      <c r="G124" s="13"/>
      <c r="H124" s="13"/>
      <c r="I124" s="13"/>
      <c r="J124" s="13"/>
      <c r="K124" s="13"/>
      <c r="L124" s="13"/>
      <c r="M124" s="13"/>
      <c r="N124" s="13"/>
      <c r="O124" s="13"/>
    </row>
    <row r="125" spans="3:15" ht="15.75" x14ac:dyDescent="0.25">
      <c r="C125" s="13"/>
      <c r="D125" s="13"/>
      <c r="E125" s="13"/>
      <c r="F125" s="13"/>
      <c r="G125" s="13"/>
      <c r="H125" s="13"/>
      <c r="I125" s="13"/>
      <c r="J125" s="13"/>
      <c r="K125" s="13"/>
      <c r="L125" s="13"/>
      <c r="M125" s="13"/>
      <c r="N125" s="13"/>
      <c r="O125" s="13"/>
    </row>
    <row r="126" spans="3:15" ht="15.75" x14ac:dyDescent="0.25">
      <c r="C126" s="13"/>
      <c r="D126" s="13"/>
      <c r="E126" s="13"/>
      <c r="F126" s="13"/>
      <c r="G126" s="13"/>
      <c r="H126" s="13"/>
      <c r="I126" s="13"/>
      <c r="J126" s="13"/>
      <c r="K126" s="13"/>
      <c r="L126" s="13"/>
      <c r="M126" s="13"/>
      <c r="N126" s="13"/>
      <c r="O126" s="13"/>
    </row>
    <row r="127" spans="3:15" ht="15.75" x14ac:dyDescent="0.25">
      <c r="C127" s="13"/>
      <c r="D127" s="13"/>
      <c r="E127" s="13"/>
      <c r="F127" s="13"/>
      <c r="G127" s="13"/>
      <c r="H127" s="13"/>
      <c r="I127" s="13"/>
      <c r="J127" s="13"/>
      <c r="K127" s="13"/>
      <c r="L127" s="13"/>
      <c r="M127" s="13"/>
      <c r="N127" s="13"/>
      <c r="O127" s="13"/>
    </row>
    <row r="128" spans="3:15" ht="15.75" x14ac:dyDescent="0.25">
      <c r="C128" s="13"/>
      <c r="D128" s="13"/>
      <c r="E128" s="13"/>
      <c r="F128" s="13"/>
      <c r="G128" s="13"/>
      <c r="H128" s="13"/>
      <c r="I128" s="13"/>
      <c r="J128" s="13"/>
      <c r="K128" s="13"/>
      <c r="L128" s="13"/>
      <c r="M128" s="13"/>
      <c r="N128" s="13"/>
      <c r="O128" s="13"/>
    </row>
    <row r="129" spans="3:15" ht="15.75" x14ac:dyDescent="0.25">
      <c r="C129" s="13"/>
      <c r="D129" s="13"/>
      <c r="E129" s="13"/>
      <c r="F129" s="13"/>
      <c r="G129" s="13"/>
      <c r="H129" s="13"/>
      <c r="I129" s="13"/>
      <c r="J129" s="13"/>
      <c r="K129" s="13"/>
      <c r="L129" s="13"/>
      <c r="M129" s="13"/>
      <c r="N129" s="13"/>
      <c r="O129" s="13"/>
    </row>
    <row r="130" spans="3:15" ht="15.75" x14ac:dyDescent="0.25">
      <c r="C130" s="13"/>
      <c r="D130" s="13"/>
      <c r="E130" s="13"/>
      <c r="F130" s="13"/>
      <c r="G130" s="13"/>
      <c r="H130" s="13"/>
      <c r="I130" s="13"/>
      <c r="J130" s="13"/>
      <c r="K130" s="13"/>
      <c r="L130" s="13"/>
      <c r="M130" s="13"/>
      <c r="N130" s="13"/>
      <c r="O130" s="13"/>
    </row>
    <row r="131" spans="3:15" ht="15.75" x14ac:dyDescent="0.25">
      <c r="C131" s="13"/>
      <c r="D131" s="13"/>
      <c r="E131" s="13"/>
      <c r="F131" s="13"/>
      <c r="G131" s="13"/>
      <c r="H131" s="13"/>
      <c r="I131" s="13"/>
      <c r="J131" s="13"/>
      <c r="K131" s="13"/>
      <c r="L131" s="13"/>
      <c r="M131" s="13"/>
      <c r="N131" s="13"/>
      <c r="O131" s="13"/>
    </row>
    <row r="132" spans="3:15" ht="15.75" x14ac:dyDescent="0.25">
      <c r="C132" s="13"/>
      <c r="D132" s="13"/>
      <c r="E132" s="13"/>
      <c r="F132" s="13"/>
      <c r="G132" s="13"/>
      <c r="H132" s="13"/>
      <c r="I132" s="13"/>
      <c r="J132" s="13"/>
      <c r="K132" s="13"/>
      <c r="L132" s="13"/>
      <c r="M132" s="13"/>
      <c r="N132" s="13"/>
      <c r="O132" s="13"/>
    </row>
    <row r="133" spans="3:15" ht="15.75" x14ac:dyDescent="0.25">
      <c r="C133" s="13"/>
      <c r="D133" s="13"/>
      <c r="E133" s="13"/>
      <c r="F133" s="13"/>
      <c r="G133" s="13"/>
      <c r="H133" s="13"/>
      <c r="I133" s="13"/>
      <c r="J133" s="13"/>
      <c r="K133" s="13"/>
      <c r="L133" s="13"/>
      <c r="M133" s="13"/>
      <c r="N133" s="13"/>
      <c r="O133" s="13"/>
    </row>
    <row r="134" spans="3:15" ht="15.75" x14ac:dyDescent="0.25">
      <c r="C134" s="13"/>
      <c r="D134" s="13"/>
      <c r="E134" s="13"/>
      <c r="F134" s="13"/>
      <c r="G134" s="13"/>
      <c r="H134" s="13"/>
      <c r="I134" s="13"/>
      <c r="J134" s="13"/>
      <c r="K134" s="13"/>
      <c r="L134" s="13"/>
      <c r="M134" s="13"/>
      <c r="N134" s="13"/>
      <c r="O134" s="13"/>
    </row>
    <row r="135" spans="3:15" ht="15.75" x14ac:dyDescent="0.25">
      <c r="C135" s="13"/>
      <c r="D135" s="13"/>
      <c r="E135" s="13"/>
      <c r="F135" s="13"/>
      <c r="G135" s="13"/>
      <c r="H135" s="13"/>
      <c r="I135" s="13"/>
      <c r="J135" s="13"/>
      <c r="K135" s="13"/>
      <c r="L135" s="13"/>
      <c r="M135" s="13"/>
      <c r="N135" s="13"/>
      <c r="O135" s="13"/>
    </row>
    <row r="136" spans="3:15" ht="15.75" x14ac:dyDescent="0.25">
      <c r="C136" s="13"/>
      <c r="D136" s="13"/>
      <c r="E136" s="13"/>
      <c r="F136" s="13"/>
      <c r="G136" s="13"/>
      <c r="H136" s="13"/>
      <c r="I136" s="13"/>
      <c r="J136" s="13"/>
      <c r="K136" s="13"/>
      <c r="L136" s="13"/>
      <c r="M136" s="13"/>
      <c r="N136" s="13"/>
      <c r="O136" s="13"/>
    </row>
    <row r="137" spans="3:15" ht="15.75" x14ac:dyDescent="0.25">
      <c r="C137" s="13"/>
      <c r="D137" s="13"/>
      <c r="E137" s="13"/>
      <c r="F137" s="13"/>
      <c r="G137" s="13"/>
      <c r="H137" s="13"/>
      <c r="I137" s="13"/>
      <c r="J137" s="13"/>
      <c r="K137" s="13"/>
      <c r="L137" s="13"/>
      <c r="M137" s="13"/>
      <c r="N137" s="13"/>
      <c r="O137" s="13"/>
    </row>
    <row r="138" spans="3:15" ht="15.75" x14ac:dyDescent="0.25">
      <c r="C138" s="13"/>
      <c r="D138" s="13"/>
      <c r="E138" s="13"/>
      <c r="F138" s="13"/>
      <c r="G138" s="13"/>
      <c r="H138" s="13"/>
      <c r="I138" s="13"/>
      <c r="J138" s="13"/>
      <c r="K138" s="13"/>
      <c r="L138" s="13"/>
      <c r="M138" s="13"/>
      <c r="N138" s="13"/>
      <c r="O138" s="13"/>
    </row>
  </sheetData>
  <mergeCells count="1">
    <mergeCell ref="A37:H37"/>
  </mergeCells>
  <pageMargins left="0.78740157499999996" right="0.78740157499999996"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O61"/>
  <sheetViews>
    <sheetView view="pageLayout" zoomScaleNormal="100" workbookViewId="0">
      <selection activeCell="B4" sqref="B4"/>
    </sheetView>
  </sheetViews>
  <sheetFormatPr defaultRowHeight="12.75" x14ac:dyDescent="0.2"/>
  <cols>
    <col min="1" max="1" width="6.28515625" customWidth="1"/>
  </cols>
  <sheetData>
    <row r="1" spans="4:15" ht="15.75" x14ac:dyDescent="0.25">
      <c r="D1" s="52" t="s">
        <v>189</v>
      </c>
      <c r="E1" s="52"/>
      <c r="F1" s="52"/>
      <c r="G1" s="52"/>
      <c r="H1" s="52"/>
      <c r="I1" s="52"/>
      <c r="J1" s="52"/>
      <c r="K1" s="52"/>
      <c r="L1" s="52"/>
      <c r="M1" s="52"/>
      <c r="N1" s="52"/>
      <c r="O1" s="52"/>
    </row>
    <row r="2" spans="4:15" ht="13.5" thickBot="1" x14ac:dyDescent="0.25"/>
    <row r="3" spans="4:15" ht="16.5" thickBot="1" x14ac:dyDescent="0.3">
      <c r="F3" s="13"/>
      <c r="G3" s="205" t="s">
        <v>133</v>
      </c>
      <c r="H3" s="205" t="s">
        <v>134</v>
      </c>
      <c r="I3" s="205" t="s">
        <v>176</v>
      </c>
    </row>
    <row r="4" spans="4:15" ht="36" customHeight="1" thickBot="1" x14ac:dyDescent="0.25">
      <c r="F4" s="48" t="s">
        <v>2</v>
      </c>
      <c r="G4" s="205"/>
      <c r="H4" s="205"/>
      <c r="I4" s="205"/>
    </row>
    <row r="5" spans="4:15" ht="16.5" thickBot="1" x14ac:dyDescent="0.3">
      <c r="F5" s="47" t="s">
        <v>5</v>
      </c>
      <c r="G5" s="38">
        <v>0.2</v>
      </c>
      <c r="H5" s="38">
        <v>0.20666666666666667</v>
      </c>
      <c r="I5" s="38">
        <f>'2'!H20</f>
        <v>0.20300751879699247</v>
      </c>
    </row>
    <row r="6" spans="4:15" ht="16.5" thickBot="1" x14ac:dyDescent="0.3">
      <c r="F6" s="47" t="s">
        <v>6</v>
      </c>
      <c r="G6" s="38">
        <v>0.17699999999999999</v>
      </c>
      <c r="H6" s="38">
        <v>8.8757396449704137E-2</v>
      </c>
      <c r="I6" s="38">
        <f>'2'!H21</f>
        <v>0.14285714285714285</v>
      </c>
    </row>
    <row r="7" spans="4:15" ht="16.5" thickBot="1" x14ac:dyDescent="0.3">
      <c r="F7" s="47" t="s">
        <v>7</v>
      </c>
      <c r="G7" s="38">
        <v>0.30299999999999999</v>
      </c>
      <c r="H7" s="38">
        <v>0.28658536585365851</v>
      </c>
      <c r="I7" s="38">
        <f>'2'!H22</f>
        <v>0.36419753086419754</v>
      </c>
    </row>
    <row r="8" spans="4:15" ht="16.5" thickBot="1" x14ac:dyDescent="0.3">
      <c r="F8" s="47" t="s">
        <v>8</v>
      </c>
      <c r="G8" s="38">
        <v>0.26100000000000001</v>
      </c>
      <c r="H8" s="38">
        <v>0.104</v>
      </c>
      <c r="I8" s="38">
        <f>'2'!H23</f>
        <v>0.125</v>
      </c>
    </row>
    <row r="9" spans="4:15" ht="16.5" thickBot="1" x14ac:dyDescent="0.3">
      <c r="F9" s="47" t="s">
        <v>9</v>
      </c>
      <c r="G9" s="38">
        <v>0.14399999999999999</v>
      </c>
      <c r="H9" s="38">
        <v>7.0796460176991149E-2</v>
      </c>
      <c r="I9" s="38">
        <f>'2'!H24</f>
        <v>0.17796610169491525</v>
      </c>
    </row>
    <row r="11" spans="4:15" ht="15.75" x14ac:dyDescent="0.25">
      <c r="D11" s="13"/>
      <c r="E11" s="13"/>
      <c r="F11" s="13"/>
      <c r="G11" s="13"/>
    </row>
    <row r="12" spans="4:15" ht="15.75" x14ac:dyDescent="0.25">
      <c r="D12" s="13"/>
      <c r="E12" s="13"/>
      <c r="F12" s="13"/>
      <c r="G12" s="13"/>
    </row>
    <row r="18" spans="4:15" ht="28.35" customHeight="1" x14ac:dyDescent="0.2"/>
    <row r="19" spans="4:15" ht="28.35" customHeight="1" x14ac:dyDescent="0.2"/>
    <row r="20" spans="4:15" ht="28.35" customHeight="1" x14ac:dyDescent="0.2"/>
    <row r="21" spans="4:15" ht="28.35" customHeight="1" x14ac:dyDescent="0.2"/>
    <row r="22" spans="4:15" ht="28.35" customHeight="1" x14ac:dyDescent="0.2"/>
    <row r="23" spans="4:15" ht="28.35" customHeight="1" x14ac:dyDescent="0.2"/>
    <row r="24" spans="4:15" ht="28.35" customHeight="1" x14ac:dyDescent="0.2"/>
    <row r="25" spans="4:15" ht="28.35" customHeight="1" x14ac:dyDescent="0.2"/>
    <row r="26" spans="4:15" ht="15.75" x14ac:dyDescent="0.25">
      <c r="D26" s="286" t="s">
        <v>190</v>
      </c>
      <c r="E26" s="286"/>
      <c r="F26" s="286"/>
      <c r="G26" s="286"/>
      <c r="H26" s="286"/>
      <c r="I26" s="286"/>
      <c r="J26" s="286"/>
      <c r="K26" s="286"/>
      <c r="L26" s="286"/>
      <c r="M26" s="52"/>
      <c r="N26" s="52"/>
      <c r="O26" s="52"/>
    </row>
    <row r="27" spans="4:15" ht="13.5" thickBot="1" x14ac:dyDescent="0.25"/>
    <row r="28" spans="4:15" ht="13.5" thickBot="1" x14ac:dyDescent="0.25">
      <c r="F28" s="211" t="s">
        <v>2</v>
      </c>
      <c r="G28" s="217" t="s">
        <v>133</v>
      </c>
      <c r="H28" s="205" t="s">
        <v>134</v>
      </c>
      <c r="I28" s="205" t="s">
        <v>176</v>
      </c>
    </row>
    <row r="29" spans="4:15" ht="41.25" customHeight="1" thickBot="1" x14ac:dyDescent="0.25">
      <c r="F29" s="212"/>
      <c r="G29" s="217"/>
      <c r="H29" s="205"/>
      <c r="I29" s="205"/>
    </row>
    <row r="30" spans="4:15" ht="16.5" thickBot="1" x14ac:dyDescent="0.25">
      <c r="F30" s="47" t="s">
        <v>5</v>
      </c>
      <c r="G30" s="50">
        <v>5.0999999999999997E-2</v>
      </c>
      <c r="H30" s="50">
        <v>0.04</v>
      </c>
      <c r="I30" s="50">
        <f>'11 - ABANDONO ESCOLAR'!F12</f>
        <v>2.9629629629629631E-2</v>
      </c>
    </row>
    <row r="31" spans="4:15" ht="16.5" thickBot="1" x14ac:dyDescent="0.25">
      <c r="F31" s="47" t="s">
        <v>6</v>
      </c>
      <c r="G31" s="50">
        <v>1.0999999999999999E-2</v>
      </c>
      <c r="H31" s="50">
        <v>1.1834319526627219E-2</v>
      </c>
      <c r="I31" s="50">
        <f>'11 - ABANDONO ESCOLAR'!F13</f>
        <v>4.7244094488188976E-2</v>
      </c>
    </row>
    <row r="32" spans="4:15" ht="16.5" thickBot="1" x14ac:dyDescent="0.25">
      <c r="F32" s="47" t="s">
        <v>7</v>
      </c>
      <c r="G32" s="50">
        <v>6.0000000000000001E-3</v>
      </c>
      <c r="H32" s="50">
        <v>0</v>
      </c>
      <c r="I32" s="50">
        <f>'11 - ABANDONO ESCOLAR'!F14</f>
        <v>6.1728395061728392E-3</v>
      </c>
    </row>
    <row r="33" spans="6:9" ht="16.5" thickBot="1" x14ac:dyDescent="0.25">
      <c r="F33" s="47" t="s">
        <v>8</v>
      </c>
      <c r="G33" s="50">
        <v>0</v>
      </c>
      <c r="H33" s="50">
        <v>0</v>
      </c>
      <c r="I33" s="50">
        <f>'11 - ABANDONO ESCOLAR'!F15</f>
        <v>0</v>
      </c>
    </row>
    <row r="34" spans="6:9" ht="16.5" thickBot="1" x14ac:dyDescent="0.25">
      <c r="F34" s="47" t="s">
        <v>9</v>
      </c>
      <c r="G34" s="50">
        <v>3.3000000000000002E-2</v>
      </c>
      <c r="H34" s="50">
        <v>8.8495575221238937E-3</v>
      </c>
      <c r="I34" s="50">
        <f>'11 - ABANDONO ESCOLAR'!F16</f>
        <v>0</v>
      </c>
    </row>
    <row r="61" spans="13:13" x14ac:dyDescent="0.2">
      <c r="M61">
        <v>29</v>
      </c>
    </row>
  </sheetData>
  <mergeCells count="8">
    <mergeCell ref="G28:G29"/>
    <mergeCell ref="H28:H29"/>
    <mergeCell ref="I28:I29"/>
    <mergeCell ref="G3:G4"/>
    <mergeCell ref="H3:H4"/>
    <mergeCell ref="I3:I4"/>
    <mergeCell ref="D26:L26"/>
    <mergeCell ref="F28:F29"/>
  </mergeCells>
  <pageMargins left="0.78740157480314965" right="0.78740157480314965"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2"/>
  </sheetPr>
  <dimension ref="A1:BB67"/>
  <sheetViews>
    <sheetView view="pageLayout" topLeftCell="N1" zoomScaleNormal="100" zoomScaleSheetLayoutView="100" workbookViewId="0">
      <selection activeCell="AB38" sqref="AB38"/>
    </sheetView>
  </sheetViews>
  <sheetFormatPr defaultRowHeight="12.75" x14ac:dyDescent="0.2"/>
  <cols>
    <col min="1" max="1" width="10.5703125" customWidth="1"/>
    <col min="2" max="2" width="7.42578125" customWidth="1"/>
    <col min="3" max="3" width="8.42578125" bestFit="1" customWidth="1"/>
    <col min="4" max="4" width="8.7109375" bestFit="1" customWidth="1"/>
    <col min="5" max="6" width="7.42578125" customWidth="1"/>
    <col min="7" max="7" width="8.7109375" bestFit="1" customWidth="1"/>
    <col min="8" max="9" width="7.42578125" customWidth="1"/>
    <col min="10" max="10" width="8.7109375" bestFit="1" customWidth="1"/>
    <col min="11" max="12" width="7.42578125" customWidth="1"/>
    <col min="13" max="13" width="8.7109375" bestFit="1" customWidth="1"/>
    <col min="14" max="14" width="10.42578125" customWidth="1"/>
    <col min="15" max="17" width="7.5703125" bestFit="1" customWidth="1"/>
    <col min="19" max="26" width="7.5703125" bestFit="1" customWidth="1"/>
    <col min="27" max="27" width="10.5703125" bestFit="1" customWidth="1"/>
    <col min="28" max="39" width="7.5703125" bestFit="1" customWidth="1"/>
    <col min="40" max="40" width="10.5703125" bestFit="1" customWidth="1"/>
    <col min="41" max="52" width="7.5703125" bestFit="1" customWidth="1"/>
  </cols>
  <sheetData>
    <row r="1" spans="1:52" ht="15.75" x14ac:dyDescent="0.25">
      <c r="A1" s="286" t="s">
        <v>245</v>
      </c>
      <c r="B1" s="286"/>
      <c r="C1" s="286"/>
      <c r="D1" s="286"/>
      <c r="E1" s="286"/>
      <c r="F1" s="286"/>
      <c r="G1" s="286"/>
      <c r="H1" s="286"/>
      <c r="I1" s="286"/>
      <c r="J1" s="286"/>
      <c r="K1" s="286"/>
      <c r="L1" s="286"/>
      <c r="M1" s="286"/>
      <c r="N1" s="286" t="s">
        <v>245</v>
      </c>
      <c r="O1" s="286"/>
      <c r="P1" s="286"/>
      <c r="Q1" s="286"/>
      <c r="R1" s="286"/>
      <c r="S1" s="286"/>
      <c r="T1" s="286"/>
      <c r="U1" s="286"/>
      <c r="V1" s="286"/>
      <c r="W1" s="286"/>
      <c r="X1" s="286"/>
      <c r="Y1" s="286"/>
      <c r="Z1" s="286"/>
      <c r="AA1" s="286" t="s">
        <v>245</v>
      </c>
      <c r="AB1" s="286"/>
      <c r="AC1" s="286"/>
      <c r="AD1" s="286"/>
      <c r="AE1" s="286"/>
      <c r="AF1" s="286"/>
      <c r="AG1" s="286"/>
      <c r="AH1" s="286"/>
      <c r="AI1" s="286"/>
      <c r="AJ1" s="286"/>
      <c r="AK1" s="286"/>
      <c r="AL1" s="286"/>
      <c r="AM1" s="286"/>
      <c r="AN1" s="286" t="s">
        <v>245</v>
      </c>
      <c r="AO1" s="286"/>
      <c r="AP1" s="286"/>
      <c r="AQ1" s="286"/>
      <c r="AR1" s="286"/>
      <c r="AS1" s="286"/>
      <c r="AT1" s="286"/>
      <c r="AU1" s="286"/>
      <c r="AV1" s="286"/>
      <c r="AW1" s="286"/>
      <c r="AX1" s="286"/>
      <c r="AY1" s="286"/>
      <c r="AZ1" s="286"/>
    </row>
    <row r="4" spans="1:52" ht="16.5" thickBot="1" x14ac:dyDescent="0.3">
      <c r="A4" s="13"/>
    </row>
    <row r="5" spans="1:52" s="196" customFormat="1" ht="28.35" customHeight="1" thickBot="1" x14ac:dyDescent="0.25">
      <c r="A5" s="195"/>
      <c r="B5" s="290" t="s">
        <v>146</v>
      </c>
      <c r="C5" s="291"/>
      <c r="D5" s="291"/>
      <c r="E5" s="291"/>
      <c r="F5" s="291"/>
      <c r="G5" s="291"/>
      <c r="H5" s="291"/>
      <c r="I5" s="291"/>
      <c r="J5" s="291"/>
      <c r="K5" s="291"/>
      <c r="L5" s="291"/>
      <c r="M5" s="292"/>
      <c r="N5" s="195"/>
      <c r="O5" s="290" t="s">
        <v>146</v>
      </c>
      <c r="P5" s="291"/>
      <c r="Q5" s="291"/>
      <c r="R5" s="291"/>
      <c r="S5" s="291"/>
      <c r="T5" s="291"/>
      <c r="U5" s="291"/>
      <c r="V5" s="291"/>
      <c r="W5" s="291"/>
      <c r="X5" s="291"/>
      <c r="Y5" s="291"/>
      <c r="Z5" s="292"/>
      <c r="AA5" s="195"/>
      <c r="AB5" s="290" t="s">
        <v>146</v>
      </c>
      <c r="AC5" s="291"/>
      <c r="AD5" s="291"/>
      <c r="AE5" s="291"/>
      <c r="AF5" s="291"/>
      <c r="AG5" s="291"/>
      <c r="AH5" s="291"/>
      <c r="AI5" s="291"/>
      <c r="AJ5" s="291"/>
      <c r="AK5" s="291"/>
      <c r="AL5" s="291"/>
      <c r="AM5" s="292"/>
      <c r="AN5" s="195"/>
      <c r="AO5" s="290" t="s">
        <v>178</v>
      </c>
      <c r="AP5" s="291"/>
      <c r="AQ5" s="291"/>
      <c r="AR5" s="291"/>
      <c r="AS5" s="291"/>
      <c r="AT5" s="291"/>
      <c r="AU5" s="291"/>
      <c r="AV5" s="291"/>
      <c r="AW5" s="291"/>
      <c r="AX5" s="291"/>
      <c r="AY5" s="291"/>
      <c r="AZ5" s="292"/>
    </row>
    <row r="6" spans="1:52" ht="30" customHeight="1" thickBot="1" x14ac:dyDescent="0.25">
      <c r="B6" s="293" t="s">
        <v>142</v>
      </c>
      <c r="C6" s="294"/>
      <c r="D6" s="294"/>
      <c r="E6" s="294" t="s">
        <v>143</v>
      </c>
      <c r="F6" s="294"/>
      <c r="G6" s="294"/>
      <c r="H6" s="294" t="s">
        <v>157</v>
      </c>
      <c r="I6" s="294"/>
      <c r="J6" s="294"/>
      <c r="K6" s="294" t="s">
        <v>144</v>
      </c>
      <c r="L6" s="294"/>
      <c r="M6" s="294"/>
      <c r="O6" s="293" t="s">
        <v>145</v>
      </c>
      <c r="P6" s="294"/>
      <c r="Q6" s="294"/>
      <c r="R6" s="293" t="s">
        <v>19</v>
      </c>
      <c r="S6" s="294"/>
      <c r="T6" s="294"/>
      <c r="U6" s="294" t="s">
        <v>147</v>
      </c>
      <c r="V6" s="294"/>
      <c r="W6" s="294"/>
      <c r="X6" s="294" t="s">
        <v>148</v>
      </c>
      <c r="Y6" s="294"/>
      <c r="Z6" s="294"/>
      <c r="AB6" s="293" t="s">
        <v>149</v>
      </c>
      <c r="AC6" s="294"/>
      <c r="AD6" s="294"/>
      <c r="AE6" s="295" t="s">
        <v>150</v>
      </c>
      <c r="AF6" s="294"/>
      <c r="AG6" s="294"/>
      <c r="AH6" s="294" t="s">
        <v>151</v>
      </c>
      <c r="AI6" s="294"/>
      <c r="AJ6" s="294"/>
      <c r="AK6" s="294" t="s">
        <v>152</v>
      </c>
      <c r="AL6" s="294"/>
      <c r="AM6" s="294"/>
      <c r="AO6" s="293" t="s">
        <v>153</v>
      </c>
      <c r="AP6" s="294"/>
      <c r="AQ6" s="294"/>
      <c r="AR6" s="294" t="s">
        <v>154</v>
      </c>
      <c r="AS6" s="294"/>
      <c r="AT6" s="294"/>
      <c r="AU6" s="294" t="s">
        <v>155</v>
      </c>
      <c r="AV6" s="294"/>
      <c r="AW6" s="294"/>
      <c r="AX6" s="294" t="s">
        <v>156</v>
      </c>
      <c r="AY6" s="294"/>
      <c r="AZ6" s="289"/>
    </row>
    <row r="7" spans="1:52" ht="13.5" thickBot="1" x14ac:dyDescent="0.25">
      <c r="A7" s="53" t="s">
        <v>139</v>
      </c>
      <c r="B7" s="288" t="s">
        <v>140</v>
      </c>
      <c r="C7" s="288" t="s">
        <v>141</v>
      </c>
      <c r="D7" s="287" t="s">
        <v>177</v>
      </c>
      <c r="E7" s="289" t="s">
        <v>140</v>
      </c>
      <c r="F7" s="288" t="s">
        <v>141</v>
      </c>
      <c r="G7" s="287" t="s">
        <v>177</v>
      </c>
      <c r="H7" s="289" t="s">
        <v>140</v>
      </c>
      <c r="I7" s="288" t="s">
        <v>141</v>
      </c>
      <c r="J7" s="287" t="s">
        <v>177</v>
      </c>
      <c r="K7" s="289" t="s">
        <v>140</v>
      </c>
      <c r="L7" s="288" t="s">
        <v>141</v>
      </c>
      <c r="M7" s="287" t="s">
        <v>177</v>
      </c>
      <c r="N7" s="53" t="s">
        <v>139</v>
      </c>
      <c r="O7" s="288" t="s">
        <v>140</v>
      </c>
      <c r="P7" s="288" t="s">
        <v>141</v>
      </c>
      <c r="Q7" s="287" t="s">
        <v>177</v>
      </c>
      <c r="R7" s="289" t="s">
        <v>140</v>
      </c>
      <c r="S7" s="288" t="s">
        <v>141</v>
      </c>
      <c r="T7" s="287" t="s">
        <v>177</v>
      </c>
      <c r="U7" s="289" t="s">
        <v>140</v>
      </c>
      <c r="V7" s="288" t="s">
        <v>141</v>
      </c>
      <c r="W7" s="287" t="s">
        <v>177</v>
      </c>
      <c r="X7" s="289" t="s">
        <v>140</v>
      </c>
      <c r="Y7" s="288" t="s">
        <v>141</v>
      </c>
      <c r="Z7" s="287" t="s">
        <v>177</v>
      </c>
      <c r="AA7" s="53" t="s">
        <v>139</v>
      </c>
      <c r="AB7" s="288" t="s">
        <v>140</v>
      </c>
      <c r="AC7" s="288" t="s">
        <v>141</v>
      </c>
      <c r="AD7" s="287" t="s">
        <v>177</v>
      </c>
      <c r="AE7" s="289" t="s">
        <v>140</v>
      </c>
      <c r="AF7" s="288" t="s">
        <v>141</v>
      </c>
      <c r="AG7" s="287" t="s">
        <v>177</v>
      </c>
      <c r="AH7" s="289" t="s">
        <v>140</v>
      </c>
      <c r="AI7" s="288" t="s">
        <v>141</v>
      </c>
      <c r="AJ7" s="287" t="s">
        <v>177</v>
      </c>
      <c r="AK7" s="289" t="s">
        <v>140</v>
      </c>
      <c r="AL7" s="288" t="s">
        <v>141</v>
      </c>
      <c r="AM7" s="287" t="s">
        <v>177</v>
      </c>
      <c r="AN7" s="53" t="s">
        <v>139</v>
      </c>
      <c r="AO7" s="288" t="s">
        <v>140</v>
      </c>
      <c r="AP7" s="288" t="s">
        <v>141</v>
      </c>
      <c r="AQ7" s="287" t="s">
        <v>177</v>
      </c>
      <c r="AR7" s="289" t="s">
        <v>140</v>
      </c>
      <c r="AS7" s="288" t="s">
        <v>141</v>
      </c>
      <c r="AT7" s="287" t="s">
        <v>177</v>
      </c>
      <c r="AU7" s="289" t="s">
        <v>140</v>
      </c>
      <c r="AV7" s="288" t="s">
        <v>141</v>
      </c>
      <c r="AW7" s="287" t="s">
        <v>177</v>
      </c>
      <c r="AX7" s="289" t="s">
        <v>140</v>
      </c>
      <c r="AY7" s="288" t="s">
        <v>141</v>
      </c>
      <c r="AZ7" s="287" t="s">
        <v>177</v>
      </c>
    </row>
    <row r="8" spans="1:52" ht="16.5" thickBot="1" x14ac:dyDescent="0.25">
      <c r="A8" s="48" t="s">
        <v>2</v>
      </c>
      <c r="B8" s="288"/>
      <c r="C8" s="288"/>
      <c r="D8" s="288"/>
      <c r="E8" s="289"/>
      <c r="F8" s="288"/>
      <c r="G8" s="288"/>
      <c r="H8" s="289"/>
      <c r="I8" s="288"/>
      <c r="J8" s="288"/>
      <c r="K8" s="289"/>
      <c r="L8" s="288"/>
      <c r="M8" s="288"/>
      <c r="N8" s="48" t="s">
        <v>2</v>
      </c>
      <c r="O8" s="288"/>
      <c r="P8" s="288"/>
      <c r="Q8" s="288"/>
      <c r="R8" s="289"/>
      <c r="S8" s="288"/>
      <c r="T8" s="288"/>
      <c r="U8" s="289"/>
      <c r="V8" s="288"/>
      <c r="W8" s="288"/>
      <c r="X8" s="289"/>
      <c r="Y8" s="288"/>
      <c r="Z8" s="288"/>
      <c r="AA8" s="48" t="s">
        <v>2</v>
      </c>
      <c r="AB8" s="288"/>
      <c r="AC8" s="288"/>
      <c r="AD8" s="288"/>
      <c r="AE8" s="289"/>
      <c r="AF8" s="288"/>
      <c r="AG8" s="288"/>
      <c r="AH8" s="289"/>
      <c r="AI8" s="288"/>
      <c r="AJ8" s="288"/>
      <c r="AK8" s="289"/>
      <c r="AL8" s="288"/>
      <c r="AM8" s="288"/>
      <c r="AN8" s="48" t="s">
        <v>2</v>
      </c>
      <c r="AO8" s="288"/>
      <c r="AP8" s="288"/>
      <c r="AQ8" s="288"/>
      <c r="AR8" s="289"/>
      <c r="AS8" s="288"/>
      <c r="AT8" s="288"/>
      <c r="AU8" s="289"/>
      <c r="AV8" s="288"/>
      <c r="AW8" s="288"/>
      <c r="AX8" s="289"/>
      <c r="AY8" s="288"/>
      <c r="AZ8" s="288"/>
    </row>
    <row r="9" spans="1:52" s="93" customFormat="1" ht="28.35" customHeight="1" thickBot="1" x14ac:dyDescent="0.25">
      <c r="A9" s="185" t="s">
        <v>5</v>
      </c>
      <c r="B9" s="54">
        <v>0.28000000000000003</v>
      </c>
      <c r="C9" s="71">
        <v>0.30000000000000004</v>
      </c>
      <c r="D9" s="55">
        <f>1-'3 - APROV POR ANO E DISC.'!D11</f>
        <v>0.27819548872180455</v>
      </c>
      <c r="E9" s="56">
        <v>0.29699999999999999</v>
      </c>
      <c r="F9" s="54">
        <v>0.32666666666666666</v>
      </c>
      <c r="G9" s="55">
        <f>1-'3 - APROV POR ANO E DISC.'!F11</f>
        <v>0.2857142857142857</v>
      </c>
      <c r="H9" s="57" t="s">
        <v>118</v>
      </c>
      <c r="I9" s="58" t="s">
        <v>118</v>
      </c>
      <c r="J9" s="59" t="s">
        <v>118</v>
      </c>
      <c r="K9" s="56">
        <v>0.22900000000000001</v>
      </c>
      <c r="L9" s="54">
        <v>0.28000000000000003</v>
      </c>
      <c r="M9" s="55">
        <f>1-'3 - APROV POR ANO E DISC.'!H11</f>
        <v>0.21052631578947367</v>
      </c>
      <c r="N9" s="185" t="s">
        <v>5</v>
      </c>
      <c r="O9" s="58" t="s">
        <v>118</v>
      </c>
      <c r="P9" s="58" t="s">
        <v>118</v>
      </c>
      <c r="Q9" s="59" t="s">
        <v>118</v>
      </c>
      <c r="R9" s="56">
        <v>0.32600000000000001</v>
      </c>
      <c r="S9" s="54">
        <v>0.31999999999999995</v>
      </c>
      <c r="T9" s="55">
        <f>1-'3 - APROV POR ANO E DISC.'!J11</f>
        <v>0.36090225563909772</v>
      </c>
      <c r="U9" s="56">
        <v>0.16</v>
      </c>
      <c r="V9" s="54">
        <v>0.21333333333333337</v>
      </c>
      <c r="W9" s="55">
        <f>1-'3 - APROV POR ANO E DISC.'!L11</f>
        <v>0.23308270676691734</v>
      </c>
      <c r="X9" s="57" t="s">
        <v>118</v>
      </c>
      <c r="Y9" s="58" t="s">
        <v>118</v>
      </c>
      <c r="Z9" s="59" t="s">
        <v>118</v>
      </c>
      <c r="AA9" s="185" t="s">
        <v>5</v>
      </c>
      <c r="AB9" s="54">
        <v>0.13100000000000001</v>
      </c>
      <c r="AC9" s="54">
        <v>0.1333333333333333</v>
      </c>
      <c r="AD9" s="55">
        <f>1-'3 - APROV POR ANO E DISC.'!D18</f>
        <v>0.17293233082706772</v>
      </c>
      <c r="AE9" s="56">
        <v>0.189</v>
      </c>
      <c r="AF9" s="54">
        <v>0.22666666666666668</v>
      </c>
      <c r="AG9" s="55">
        <f>1-'3 - APROV POR ANO E DISC.'!F18</f>
        <v>0.19548872180451127</v>
      </c>
      <c r="AH9" s="57" t="s">
        <v>118</v>
      </c>
      <c r="AI9" s="58" t="s">
        <v>118</v>
      </c>
      <c r="AJ9" s="59" t="s">
        <v>118</v>
      </c>
      <c r="AK9" s="56">
        <v>0.08</v>
      </c>
      <c r="AL9" s="54">
        <v>9.9999999999999978E-2</v>
      </c>
      <c r="AM9" s="55">
        <f>1-'3 - APROV POR ANO E DISC.'!H18</f>
        <v>9.7744360902255689E-2</v>
      </c>
      <c r="AN9" s="185" t="s">
        <v>5</v>
      </c>
      <c r="AO9" s="54">
        <v>0.13700000000000001</v>
      </c>
      <c r="AP9" s="54">
        <v>0.13333333333333333</v>
      </c>
      <c r="AQ9" s="55">
        <f>'5 - AREAS NÃO DISC'!D16</f>
        <v>0.17293233082706766</v>
      </c>
      <c r="AR9" s="56">
        <v>0.19400000000000001</v>
      </c>
      <c r="AS9" s="54">
        <v>0.22666666666666666</v>
      </c>
      <c r="AT9" s="55">
        <f>'5 - AREAS NÃO DISC'!F16</f>
        <v>0.3007518796992481</v>
      </c>
      <c r="AU9" s="56">
        <v>0.13700000000000001</v>
      </c>
      <c r="AV9" s="54">
        <v>0.18666666666666668</v>
      </c>
      <c r="AW9" s="55">
        <f>'5 - AREAS NÃO DISC'!H16</f>
        <v>0.12781954887218044</v>
      </c>
      <c r="AX9" s="56">
        <v>3.6999999999999998E-2</v>
      </c>
      <c r="AY9" s="54">
        <v>1.6129032258064502E-2</v>
      </c>
      <c r="AZ9" s="54">
        <f>1-'3 - APROV POR ANO E DISC.'!J18</f>
        <v>4.5454545454545414E-2</v>
      </c>
    </row>
    <row r="10" spans="1:52" s="93" customFormat="1" ht="28.35" customHeight="1" thickBot="1" x14ac:dyDescent="0.25">
      <c r="A10" s="185" t="s">
        <v>6</v>
      </c>
      <c r="B10" s="54">
        <v>0.26300000000000001</v>
      </c>
      <c r="C10" s="54">
        <v>0.18343195266272194</v>
      </c>
      <c r="D10" s="55">
        <f>1-'3 - APROV POR ANO E DISC.'!D12</f>
        <v>0.25396825396825395</v>
      </c>
      <c r="E10" s="56">
        <v>0.223</v>
      </c>
      <c r="F10" s="54">
        <v>0.20118343195266275</v>
      </c>
      <c r="G10" s="55">
        <f>1-'3 - APROV POR ANO E DISC.'!F12</f>
        <v>0.31746031746031744</v>
      </c>
      <c r="H10" s="57" t="s">
        <v>118</v>
      </c>
      <c r="I10" s="58" t="s">
        <v>118</v>
      </c>
      <c r="J10" s="59" t="s">
        <v>118</v>
      </c>
      <c r="K10" s="56">
        <v>0.223</v>
      </c>
      <c r="L10" s="54">
        <v>0.20118343195266275</v>
      </c>
      <c r="M10" s="55">
        <f>1-'3 - APROV POR ANO E DISC.'!H12</f>
        <v>0.2142857142857143</v>
      </c>
      <c r="N10" s="185" t="s">
        <v>6</v>
      </c>
      <c r="O10" s="58" t="s">
        <v>118</v>
      </c>
      <c r="P10" s="58" t="s">
        <v>118</v>
      </c>
      <c r="Q10" s="59" t="s">
        <v>118</v>
      </c>
      <c r="R10" s="56">
        <v>0.309</v>
      </c>
      <c r="S10" s="54">
        <v>0.2899408284023669</v>
      </c>
      <c r="T10" s="55">
        <f>1-'3 - APROV POR ANO E DISC.'!J12</f>
        <v>0.36507936507936511</v>
      </c>
      <c r="U10" s="56">
        <v>0.17699999999999999</v>
      </c>
      <c r="V10" s="54">
        <v>7.6923076923076872E-2</v>
      </c>
      <c r="W10" s="55">
        <f>1-'3 - APROV POR ANO E DISC.'!L12</f>
        <v>0.15873015873015872</v>
      </c>
      <c r="X10" s="57" t="s">
        <v>118</v>
      </c>
      <c r="Y10" s="58" t="s">
        <v>118</v>
      </c>
      <c r="Z10" s="59" t="s">
        <v>118</v>
      </c>
      <c r="AA10" s="185" t="s">
        <v>6</v>
      </c>
      <c r="AB10" s="54">
        <v>5.0999999999999997E-2</v>
      </c>
      <c r="AC10" s="54">
        <v>8.8757396449704151E-2</v>
      </c>
      <c r="AD10" s="55">
        <f>1-'3 - APROV POR ANO E DISC.'!D19</f>
        <v>0.10317460317460314</v>
      </c>
      <c r="AE10" s="56">
        <v>0.13700000000000001</v>
      </c>
      <c r="AF10" s="54">
        <v>0.12426035502958577</v>
      </c>
      <c r="AG10" s="55">
        <f>1-'3 - APROV POR ANO E DISC.'!F19</f>
        <v>0.18253968253968256</v>
      </c>
      <c r="AH10" s="57" t="s">
        <v>118</v>
      </c>
      <c r="AI10" s="58" t="s">
        <v>118</v>
      </c>
      <c r="AJ10" s="59" t="s">
        <v>118</v>
      </c>
      <c r="AK10" s="56">
        <v>9.7000000000000003E-2</v>
      </c>
      <c r="AL10" s="54">
        <v>3.5502958579881616E-2</v>
      </c>
      <c r="AM10" s="55">
        <f>1-'3 - APROV POR ANO E DISC.'!H19</f>
        <v>8.7301587301587324E-2</v>
      </c>
      <c r="AN10" s="185" t="s">
        <v>6</v>
      </c>
      <c r="AO10" s="54">
        <v>0.12</v>
      </c>
      <c r="AP10" s="54">
        <v>0.11834319526627218</v>
      </c>
      <c r="AQ10" s="55">
        <f>'5 - AREAS NÃO DISC'!D17</f>
        <v>0.1111111111111111</v>
      </c>
      <c r="AR10" s="56">
        <v>9.7000000000000003E-2</v>
      </c>
      <c r="AS10" s="54">
        <v>0.10059171597633136</v>
      </c>
      <c r="AT10" s="55">
        <f>'5 - AREAS NÃO DISC'!F17</f>
        <v>0.23015873015873015</v>
      </c>
      <c r="AU10" s="56">
        <v>6.3E-2</v>
      </c>
      <c r="AV10" s="54">
        <v>8.2840236686390539E-2</v>
      </c>
      <c r="AW10" s="55">
        <f>'5 - AREAS NÃO DISC'!H17</f>
        <v>0.16666666666666666</v>
      </c>
      <c r="AX10" s="56">
        <v>0</v>
      </c>
      <c r="AY10" s="54">
        <v>4.0540540540540571E-2</v>
      </c>
      <c r="AZ10" s="54">
        <f>1-'3 - APROV POR ANO E DISC.'!J19</f>
        <v>0</v>
      </c>
    </row>
    <row r="11" spans="1:52" s="93" customFormat="1" ht="28.35" customHeight="1" thickBot="1" x14ac:dyDescent="0.25">
      <c r="A11" s="185" t="s">
        <v>7</v>
      </c>
      <c r="B11" s="54">
        <v>0.29099999999999998</v>
      </c>
      <c r="C11" s="54">
        <v>0.47560975609756095</v>
      </c>
      <c r="D11" s="55">
        <f>1-'3 - APROV POR ANO E DISC.'!P14</f>
        <v>0.38888888888888884</v>
      </c>
      <c r="E11" s="56">
        <v>0.28499999999999998</v>
      </c>
      <c r="F11" s="54">
        <v>0.31707317073170727</v>
      </c>
      <c r="G11" s="55">
        <f>1-'3 - APROV POR ANO E DISC.'!R14</f>
        <v>0.4320987654320988</v>
      </c>
      <c r="H11" s="56">
        <v>0.26700000000000002</v>
      </c>
      <c r="I11" s="54">
        <v>5.8394160583941646E-2</v>
      </c>
      <c r="J11" s="55">
        <f>1-'3 - APROV POR ANO E DISC.'!T14</f>
        <v>0.37301587301587302</v>
      </c>
      <c r="K11" s="56">
        <v>0.17599999999999999</v>
      </c>
      <c r="L11" s="54">
        <v>0.21341463414634143</v>
      </c>
      <c r="M11" s="55">
        <f>1-'3 - APROV POR ANO E DISC.'!X14</f>
        <v>0.35185185185185186</v>
      </c>
      <c r="N11" s="185" t="s">
        <v>7</v>
      </c>
      <c r="O11" s="54">
        <v>0.23599999999999999</v>
      </c>
      <c r="P11" s="54">
        <v>0.23170731707317072</v>
      </c>
      <c r="Q11" s="55">
        <f>1-'3 - APROV POR ANO E DISC.'!P22</f>
        <v>0.5</v>
      </c>
      <c r="R11" s="56">
        <v>0.33300000000000002</v>
      </c>
      <c r="S11" s="54">
        <v>0.35365853658536583</v>
      </c>
      <c r="T11" s="55">
        <f>1-'3 - APROV POR ANO E DISC.'!R22</f>
        <v>0.38271604938271608</v>
      </c>
      <c r="U11" s="56">
        <v>0.255</v>
      </c>
      <c r="V11" s="54">
        <v>0.18292682926829273</v>
      </c>
      <c r="W11" s="55">
        <f>1-'3 - APROV POR ANO E DISC.'!T22</f>
        <v>0.2592592592592593</v>
      </c>
      <c r="X11" s="56">
        <v>0.35799999999999998</v>
      </c>
      <c r="Y11" s="54">
        <v>0.32926829268292679</v>
      </c>
      <c r="Z11" s="55">
        <f>1-'3 - APROV POR ANO E DISC.'!V22</f>
        <v>0.27160493827160492</v>
      </c>
      <c r="AA11" s="185" t="s">
        <v>7</v>
      </c>
      <c r="AB11" s="54">
        <v>0.10299999999999999</v>
      </c>
      <c r="AC11" s="54">
        <v>5.4878048780487854E-2</v>
      </c>
      <c r="AD11" s="55">
        <f>1-'3 - APROV POR ANO E DISC.'!AD9</f>
        <v>0.12345679012345678</v>
      </c>
      <c r="AE11" s="56">
        <v>0.16400000000000001</v>
      </c>
      <c r="AF11" s="54">
        <v>6.0975609756097615E-2</v>
      </c>
      <c r="AG11" s="55">
        <f>1-'3 - APROV POR ANO E DISC.'!AF9</f>
        <v>0.11728395061728392</v>
      </c>
      <c r="AH11" s="56">
        <v>0.218</v>
      </c>
      <c r="AI11" s="54">
        <v>0.13414634146341464</v>
      </c>
      <c r="AJ11" s="55">
        <f>1-'3 - APROV POR ANO E DISC.'!AH9</f>
        <v>6.7901234567901203E-2</v>
      </c>
      <c r="AK11" s="56">
        <v>8.5000000000000006E-2</v>
      </c>
      <c r="AL11" s="54">
        <v>1.8292682926829285E-2</v>
      </c>
      <c r="AM11" s="55">
        <f>1-'3 - APROV POR ANO E DISC.'!AJ9</f>
        <v>2.4691358024691357E-2</v>
      </c>
      <c r="AN11" s="185" t="s">
        <v>7</v>
      </c>
      <c r="AO11" s="54">
        <v>9.0999999999999998E-2</v>
      </c>
      <c r="AP11" s="54">
        <v>1.2195121951219513E-2</v>
      </c>
      <c r="AQ11" s="55">
        <f>'5 - AREAS NÃO DISC'!D18</f>
        <v>9.2592592592592587E-2</v>
      </c>
      <c r="AR11" s="56">
        <v>0.13900000000000001</v>
      </c>
      <c r="AS11" s="54">
        <v>7.3170731707317069E-2</v>
      </c>
      <c r="AT11" s="55">
        <f>'5 - AREAS NÃO DISC'!F18</f>
        <v>9.2592592592592587E-2</v>
      </c>
      <c r="AU11" s="56">
        <v>5.5E-2</v>
      </c>
      <c r="AV11" s="54">
        <v>0</v>
      </c>
      <c r="AW11" s="55">
        <f>'5 - AREAS NÃO DISC'!H18</f>
        <v>0.16049382716049382</v>
      </c>
      <c r="AX11" s="56">
        <v>2.5999999999999999E-2</v>
      </c>
      <c r="AY11" s="54">
        <v>4.166666666666663E-2</v>
      </c>
      <c r="AZ11" s="54">
        <f>1-'3 - APROV POR ANO E DISC.'!AL9</f>
        <v>0</v>
      </c>
    </row>
    <row r="12" spans="1:52" s="93" customFormat="1" ht="28.35" customHeight="1" thickBot="1" x14ac:dyDescent="0.25">
      <c r="A12" s="185" t="s">
        <v>8</v>
      </c>
      <c r="B12" s="54">
        <v>0.41499999999999998</v>
      </c>
      <c r="C12" s="54">
        <v>0.13600000000000001</v>
      </c>
      <c r="D12" s="55">
        <f>1-'3 - APROV POR ANO E DISC.'!P15</f>
        <v>0.51666666666666661</v>
      </c>
      <c r="E12" s="56">
        <v>0.23599999999999999</v>
      </c>
      <c r="F12" s="54">
        <v>0.19999999999999996</v>
      </c>
      <c r="G12" s="55">
        <f>1-'3 - APROV POR ANO E DISC.'!R15</f>
        <v>0.29166666666666663</v>
      </c>
      <c r="H12" s="56">
        <v>0.218</v>
      </c>
      <c r="I12" s="54">
        <v>0.16800000000000004</v>
      </c>
      <c r="J12" s="55">
        <f>1-'3 - APROV POR ANO E DISC.'!T15</f>
        <v>0.18681318681318682</v>
      </c>
      <c r="K12" s="56">
        <v>0.16200000000000001</v>
      </c>
      <c r="L12" s="54">
        <v>0.16800000000000004</v>
      </c>
      <c r="M12" s="55">
        <f>1-'3 - APROV POR ANO E DISC.'!X15</f>
        <v>9.1666666666666674E-2</v>
      </c>
      <c r="N12" s="185" t="s">
        <v>8</v>
      </c>
      <c r="O12" s="54">
        <v>9.9000000000000005E-2</v>
      </c>
      <c r="P12" s="54">
        <v>0.24</v>
      </c>
      <c r="Q12" s="55">
        <f>1-'3 - APROV POR ANO E DISC.'!P23</f>
        <v>9.9999999999999978E-2</v>
      </c>
      <c r="R12" s="56">
        <v>0.40100000000000002</v>
      </c>
      <c r="S12" s="54">
        <v>0.24</v>
      </c>
      <c r="T12" s="55">
        <f>1-'3 - APROV POR ANO E DISC.'!R23</f>
        <v>0.28333333333333333</v>
      </c>
      <c r="U12" s="56">
        <v>4.9000000000000002E-2</v>
      </c>
      <c r="V12" s="54">
        <v>7.999999999999996E-2</v>
      </c>
      <c r="W12" s="55">
        <f>1-'3 - APROV POR ANO E DISC.'!T23</f>
        <v>4.166666666666663E-2</v>
      </c>
      <c r="X12" s="56">
        <v>0.22500000000000001</v>
      </c>
      <c r="Y12" s="54">
        <v>0.16800000000000004</v>
      </c>
      <c r="Z12" s="55">
        <f>1-'3 - APROV POR ANO E DISC.'!V23</f>
        <v>8.333333333333337E-2</v>
      </c>
      <c r="AA12" s="185" t="s">
        <v>8</v>
      </c>
      <c r="AB12" s="54">
        <v>8.5000000000000006E-2</v>
      </c>
      <c r="AC12" s="54">
        <v>3.2000000000000028E-2</v>
      </c>
      <c r="AD12" s="55">
        <f>1-'3 - APROV POR ANO E DISC.'!AD10</f>
        <v>6.6666666666666652E-2</v>
      </c>
      <c r="AE12" s="56">
        <v>3.5000000000000003E-2</v>
      </c>
      <c r="AF12" s="54">
        <v>1.6000000000000014E-2</v>
      </c>
      <c r="AG12" s="55">
        <f>1-'3 - APROV POR ANO E DISC.'!AF10</f>
        <v>5.0000000000000044E-2</v>
      </c>
      <c r="AH12" s="56">
        <v>3.5000000000000003E-2</v>
      </c>
      <c r="AI12" s="54">
        <v>8.0000000000000071E-3</v>
      </c>
      <c r="AJ12" s="55">
        <f>1-'3 - APROV POR ANO E DISC.'!AH10</f>
        <v>5.0000000000000044E-2</v>
      </c>
      <c r="AK12" s="56">
        <v>2.1000000000000001E-2</v>
      </c>
      <c r="AL12" s="54">
        <v>2.4000000000000021E-2</v>
      </c>
      <c r="AM12" s="55">
        <f>1-'3 - APROV POR ANO E DISC.'!AJ10</f>
        <v>1.6666666666666718E-2</v>
      </c>
      <c r="AN12" s="185" t="s">
        <v>8</v>
      </c>
      <c r="AO12" s="54">
        <v>0</v>
      </c>
      <c r="AP12" s="54">
        <v>0</v>
      </c>
      <c r="AQ12" s="55">
        <f>'5 - AREAS NÃO DISC'!D19</f>
        <v>1.6666666666666666E-2</v>
      </c>
      <c r="AR12" s="56">
        <v>7.0000000000000001E-3</v>
      </c>
      <c r="AS12" s="54">
        <v>0</v>
      </c>
      <c r="AT12" s="55">
        <f>'5 - AREAS NÃO DISC'!F19</f>
        <v>5.8333333333333334E-2</v>
      </c>
      <c r="AU12" s="56">
        <v>0</v>
      </c>
      <c r="AV12" s="54">
        <v>0</v>
      </c>
      <c r="AW12" s="55">
        <f>'5 - AREAS NÃO DISC'!H19</f>
        <v>0</v>
      </c>
      <c r="AX12" s="56">
        <v>0</v>
      </c>
      <c r="AY12" s="54">
        <v>0</v>
      </c>
      <c r="AZ12" s="54">
        <f>1-'3 - APROV POR ANO E DISC.'!AL10</f>
        <v>0</v>
      </c>
    </row>
    <row r="13" spans="1:52" s="93" customFormat="1" ht="28.35" customHeight="1" thickBot="1" x14ac:dyDescent="0.25">
      <c r="A13" s="185" t="s">
        <v>9</v>
      </c>
      <c r="B13" s="54">
        <v>0.22500000000000001</v>
      </c>
      <c r="C13" s="54">
        <v>9.7345132743362872E-2</v>
      </c>
      <c r="D13" s="55">
        <f>1-'3 - APROV POR ANO E DISC.'!P16</f>
        <v>0.11016949152542377</v>
      </c>
      <c r="E13" s="56">
        <v>0.25800000000000001</v>
      </c>
      <c r="F13" s="54">
        <v>0.18584070796460173</v>
      </c>
      <c r="G13" s="55">
        <f>1-'3 - APROV POR ANO E DISC.'!R16</f>
        <v>0.10169491525423724</v>
      </c>
      <c r="H13" s="56">
        <v>0.20200000000000001</v>
      </c>
      <c r="I13" s="54">
        <v>0.1415929203539823</v>
      </c>
      <c r="J13" s="55">
        <f>1-'3 - APROV POR ANO E DISC.'!T16</f>
        <v>0.34375</v>
      </c>
      <c r="K13" s="56">
        <v>0.13500000000000001</v>
      </c>
      <c r="L13" s="54">
        <v>7.9646017699115057E-2</v>
      </c>
      <c r="M13" s="55">
        <f>1-'3 - APROV POR ANO E DISC.'!X16</f>
        <v>0.11016949152542377</v>
      </c>
      <c r="N13" s="185" t="s">
        <v>9</v>
      </c>
      <c r="O13" s="54">
        <v>0.10100000000000001</v>
      </c>
      <c r="P13" s="54">
        <v>5.3097345132743334E-2</v>
      </c>
      <c r="Q13" s="55">
        <f>1-'3 - APROV POR ANO E DISC.'!P24</f>
        <v>0.17796610169491522</v>
      </c>
      <c r="R13" s="56">
        <v>0.40400000000000003</v>
      </c>
      <c r="S13" s="54">
        <v>0.23008849557522126</v>
      </c>
      <c r="T13" s="55">
        <f>1-'3 - APROV POR ANO E DISC.'!R24</f>
        <v>0.26271186440677963</v>
      </c>
      <c r="U13" s="56">
        <v>7.9000000000000001E-2</v>
      </c>
      <c r="V13" s="54">
        <v>2.6548672566371723E-2</v>
      </c>
      <c r="W13" s="55">
        <f>1-'3 - APROV POR ANO E DISC.'!T24</f>
        <v>9.3220338983050821E-2</v>
      </c>
      <c r="X13" s="56">
        <v>0.14599999999999999</v>
      </c>
      <c r="Y13" s="54">
        <v>0.22123893805309736</v>
      </c>
      <c r="Z13" s="55">
        <f>1-'3 - APROV POR ANO E DISC.'!V24</f>
        <v>0.24576271186440679</v>
      </c>
      <c r="AA13" s="185" t="s">
        <v>9</v>
      </c>
      <c r="AB13" s="58" t="s">
        <v>118</v>
      </c>
      <c r="AC13" s="58" t="s">
        <v>118</v>
      </c>
      <c r="AD13" s="72" t="s">
        <v>118</v>
      </c>
      <c r="AE13" s="56">
        <v>2.1999999999999999E-2</v>
      </c>
      <c r="AF13" s="54">
        <v>2.6548672566371723E-2</v>
      </c>
      <c r="AG13" s="55">
        <f>1-'3 - APROV POR ANO E DISC.'!AF11</f>
        <v>0</v>
      </c>
      <c r="AH13" s="57" t="s">
        <v>118</v>
      </c>
      <c r="AI13" s="58" t="s">
        <v>118</v>
      </c>
      <c r="AJ13" s="59" t="s">
        <v>118</v>
      </c>
      <c r="AK13" s="56">
        <v>3.4000000000000002E-2</v>
      </c>
      <c r="AL13" s="54">
        <v>4.4247787610619427E-2</v>
      </c>
      <c r="AM13" s="55">
        <f>1-'3 - APROV POR ANO E DISC.'!AJ11</f>
        <v>4.2372881355932202E-2</v>
      </c>
      <c r="AN13" s="185" t="s">
        <v>9</v>
      </c>
      <c r="AO13" s="54">
        <v>1.0999999999999999E-2</v>
      </c>
      <c r="AP13" s="54">
        <v>1.7699115044247787E-2</v>
      </c>
      <c r="AQ13" s="55">
        <f>'5 - AREAS NÃO DISC'!D20</f>
        <v>1.6949152542372881E-2</v>
      </c>
      <c r="AR13" s="56">
        <v>5.6000000000000001E-2</v>
      </c>
      <c r="AS13" s="54">
        <v>1.7699115044247787E-2</v>
      </c>
      <c r="AT13" s="55">
        <f>'5 - AREAS NÃO DISC'!F20</f>
        <v>6.7796610169491525E-2</v>
      </c>
      <c r="AU13" s="56">
        <v>2.1999999999999999E-2</v>
      </c>
      <c r="AV13" s="54">
        <v>8.8495575221238937E-3</v>
      </c>
      <c r="AW13" s="55">
        <f>'5 - AREAS NÃO DISC'!H20</f>
        <v>8.4745762711864406E-3</v>
      </c>
      <c r="AX13" s="56">
        <v>0</v>
      </c>
      <c r="AY13" s="54">
        <v>3.0303030303030276E-2</v>
      </c>
      <c r="AZ13" s="54">
        <f>1-'3 - APROV POR ANO E DISC.'!AL11</f>
        <v>0</v>
      </c>
    </row>
    <row r="25" spans="9:10" x14ac:dyDescent="0.2">
      <c r="I25" s="17"/>
      <c r="J25" s="17"/>
    </row>
    <row r="28" spans="9:10" ht="30" customHeight="1" x14ac:dyDescent="0.2"/>
    <row r="39" ht="30" customHeight="1" x14ac:dyDescent="0.2"/>
    <row r="67" spans="13:54" x14ac:dyDescent="0.2">
      <c r="M67">
        <v>30</v>
      </c>
      <c r="Z67">
        <v>31</v>
      </c>
      <c r="AM67">
        <v>32</v>
      </c>
      <c r="BB67">
        <v>33</v>
      </c>
    </row>
  </sheetData>
  <mergeCells count="72">
    <mergeCell ref="A1:M1"/>
    <mergeCell ref="N1:Z1"/>
    <mergeCell ref="AW7:AW8"/>
    <mergeCell ref="AX7:AX8"/>
    <mergeCell ref="AY7:AY8"/>
    <mergeCell ref="S7:S8"/>
    <mergeCell ref="T7:T8"/>
    <mergeCell ref="AB5:AM5"/>
    <mergeCell ref="AO5:AZ5"/>
    <mergeCell ref="AO6:AQ6"/>
    <mergeCell ref="AR6:AT6"/>
    <mergeCell ref="AU6:AW6"/>
    <mergeCell ref="AX6:AZ6"/>
    <mergeCell ref="AL7:AL8"/>
    <mergeCell ref="AB7:AB8"/>
    <mergeCell ref="AC7:AC8"/>
    <mergeCell ref="AZ7:AZ8"/>
    <mergeCell ref="AO7:AO8"/>
    <mergeCell ref="AP7:AP8"/>
    <mergeCell ref="AQ7:AQ8"/>
    <mergeCell ref="AR7:AR8"/>
    <mergeCell ref="AS7:AS8"/>
    <mergeCell ref="AT7:AT8"/>
    <mergeCell ref="AU7:AU8"/>
    <mergeCell ref="AV7:AV8"/>
    <mergeCell ref="AK6:AM6"/>
    <mergeCell ref="AB6:AD6"/>
    <mergeCell ref="AM7:AM8"/>
    <mergeCell ref="AG7:AG8"/>
    <mergeCell ref="AH7:AH8"/>
    <mergeCell ref="AI7:AI8"/>
    <mergeCell ref="AJ7:AJ8"/>
    <mergeCell ref="AK7:AK8"/>
    <mergeCell ref="AD7:AD8"/>
    <mergeCell ref="AE7:AE8"/>
    <mergeCell ref="AF7:AF8"/>
    <mergeCell ref="AE6:AG6"/>
    <mergeCell ref="AH6:AJ6"/>
    <mergeCell ref="Y7:Y8"/>
    <mergeCell ref="Z7:Z8"/>
    <mergeCell ref="U7:U8"/>
    <mergeCell ref="V7:V8"/>
    <mergeCell ref="O7:O8"/>
    <mergeCell ref="P7:P8"/>
    <mergeCell ref="Q7:Q8"/>
    <mergeCell ref="H6:J6"/>
    <mergeCell ref="K6:M6"/>
    <mergeCell ref="R7:R8"/>
    <mergeCell ref="W7:W8"/>
    <mergeCell ref="X7:X8"/>
    <mergeCell ref="J7:J8"/>
    <mergeCell ref="K7:K8"/>
    <mergeCell ref="H7:H8"/>
    <mergeCell ref="I7:I8"/>
    <mergeCell ref="L7:L8"/>
    <mergeCell ref="M7:M8"/>
    <mergeCell ref="AA1:AM1"/>
    <mergeCell ref="AN1:AZ1"/>
    <mergeCell ref="G7:G8"/>
    <mergeCell ref="B7:B8"/>
    <mergeCell ref="C7:C8"/>
    <mergeCell ref="D7:D8"/>
    <mergeCell ref="E7:E8"/>
    <mergeCell ref="F7:F8"/>
    <mergeCell ref="B5:M5"/>
    <mergeCell ref="O5:Z5"/>
    <mergeCell ref="O6:Q6"/>
    <mergeCell ref="R6:T6"/>
    <mergeCell ref="U6:W6"/>
    <mergeCell ref="X6:Z6"/>
    <mergeCell ref="B6:D6"/>
    <mergeCell ref="E6:G6"/>
  </mergeCells>
  <phoneticPr fontId="6" type="noConversion"/>
  <pageMargins left="0.78740157499999996" right="0.78740157499999996"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colBreaks count="3" manualBreakCount="3">
    <brk id="13" max="1048575" man="1"/>
    <brk id="26" max="1048575" man="1"/>
    <brk id="39" max="1048575"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Layout" zoomScaleNormal="100" workbookViewId="0">
      <selection activeCell="J6" sqref="J6"/>
    </sheetView>
  </sheetViews>
  <sheetFormatPr defaultRowHeight="12.75" x14ac:dyDescent="0.2"/>
  <cols>
    <col min="1" max="1" width="7.28515625" customWidth="1"/>
    <col min="2" max="2" width="7.7109375" customWidth="1"/>
    <col min="3" max="3" width="8.85546875" customWidth="1"/>
    <col min="4" max="4" width="7.7109375" customWidth="1"/>
    <col min="5" max="5" width="8.42578125" customWidth="1"/>
    <col min="6" max="9" width="8" customWidth="1"/>
    <col min="10" max="10" width="7.7109375" customWidth="1"/>
    <col min="11" max="11" width="8.140625" customWidth="1"/>
  </cols>
  <sheetData>
    <row r="1" spans="1:12" ht="15.75" x14ac:dyDescent="0.25">
      <c r="A1" s="1" t="s">
        <v>79</v>
      </c>
    </row>
    <row r="2" spans="1:12" ht="18.75" x14ac:dyDescent="0.3">
      <c r="A2" s="204" t="s">
        <v>103</v>
      </c>
      <c r="B2" s="204"/>
      <c r="C2" s="204"/>
      <c r="D2" s="204"/>
      <c r="E2" s="204"/>
      <c r="F2" s="204"/>
      <c r="G2" s="204"/>
      <c r="H2" s="204"/>
    </row>
    <row r="3" spans="1:12" ht="15.75" x14ac:dyDescent="0.25">
      <c r="A3" s="1"/>
    </row>
    <row r="4" spans="1:12" ht="28.35" customHeight="1" x14ac:dyDescent="0.2"/>
    <row r="5" spans="1:12" ht="28.35" customHeight="1" x14ac:dyDescent="0.2"/>
    <row r="6" spans="1:12" ht="28.35" customHeight="1" x14ac:dyDescent="0.2"/>
    <row r="7" spans="1:12" ht="28.35" customHeight="1" x14ac:dyDescent="0.2"/>
    <row r="8" spans="1:12" ht="28.35" customHeight="1" x14ac:dyDescent="0.2">
      <c r="A8" s="93"/>
      <c r="B8" s="93"/>
      <c r="C8" s="93"/>
      <c r="D8" s="93"/>
      <c r="E8" s="93"/>
      <c r="F8" s="93"/>
      <c r="G8" s="93"/>
      <c r="H8" s="93"/>
      <c r="I8" s="93"/>
      <c r="J8" s="93"/>
      <c r="K8" s="93"/>
      <c r="L8" s="93"/>
    </row>
    <row r="9" spans="1:12" x14ac:dyDescent="0.2">
      <c r="A9" s="93"/>
      <c r="B9" s="93"/>
      <c r="C9" s="93"/>
      <c r="D9" s="93"/>
      <c r="E9" s="93"/>
      <c r="F9" s="93"/>
      <c r="G9" s="93"/>
      <c r="H9" s="93"/>
      <c r="I9" s="93"/>
      <c r="J9" s="93"/>
      <c r="K9" s="93"/>
      <c r="L9" s="93"/>
    </row>
    <row r="10" spans="1:12" x14ac:dyDescent="0.2">
      <c r="A10" s="93"/>
      <c r="B10" s="93"/>
      <c r="C10" s="93"/>
      <c r="D10" s="93"/>
      <c r="E10" s="93"/>
      <c r="F10" s="93"/>
      <c r="G10" s="93"/>
      <c r="H10" s="93"/>
      <c r="I10" s="93"/>
      <c r="J10" s="93"/>
      <c r="K10" s="93"/>
      <c r="L10" s="93"/>
    </row>
    <row r="11" spans="1:12" ht="28.35" customHeight="1" x14ac:dyDescent="0.2">
      <c r="A11" s="93"/>
      <c r="B11" s="93"/>
      <c r="C11" s="93"/>
      <c r="D11" s="93"/>
      <c r="E11" s="93"/>
      <c r="F11" s="93"/>
      <c r="G11" s="93"/>
      <c r="H11" s="93"/>
      <c r="I11" s="93"/>
      <c r="J11" s="93"/>
      <c r="K11" s="93"/>
      <c r="L11" s="93"/>
    </row>
    <row r="12" spans="1:12" ht="28.35" customHeight="1" x14ac:dyDescent="0.2">
      <c r="A12" s="93"/>
      <c r="B12" s="93"/>
      <c r="C12" s="93"/>
      <c r="D12" s="93"/>
      <c r="E12" s="93"/>
      <c r="F12" s="93"/>
      <c r="G12" s="93"/>
      <c r="H12" s="93"/>
      <c r="I12" s="93"/>
      <c r="J12" s="93"/>
      <c r="K12" s="93"/>
      <c r="L12" s="93"/>
    </row>
    <row r="13" spans="1:12" ht="28.35" customHeight="1" x14ac:dyDescent="0.2">
      <c r="A13" s="93"/>
      <c r="B13" s="93"/>
      <c r="C13" s="93"/>
      <c r="D13" s="93"/>
      <c r="E13" s="93"/>
      <c r="F13" s="93"/>
      <c r="G13" s="93"/>
      <c r="H13" s="93"/>
      <c r="I13" s="93"/>
      <c r="J13" s="93"/>
      <c r="K13" s="93"/>
      <c r="L13" s="93"/>
    </row>
    <row r="14" spans="1:12" x14ac:dyDescent="0.2">
      <c r="A14" s="93"/>
      <c r="B14" s="93"/>
      <c r="C14" s="93"/>
      <c r="D14" s="93"/>
      <c r="E14" s="93"/>
      <c r="F14" s="93"/>
      <c r="G14" s="93"/>
      <c r="H14" s="93"/>
      <c r="I14" s="93"/>
      <c r="J14" s="93"/>
      <c r="K14" s="93"/>
      <c r="L14" s="93"/>
    </row>
    <row r="15" spans="1:12" ht="28.35" customHeight="1" x14ac:dyDescent="0.2">
      <c r="A15" s="93"/>
      <c r="B15" s="93"/>
      <c r="C15" s="93"/>
      <c r="D15" s="93"/>
      <c r="E15" s="93"/>
      <c r="F15" s="93"/>
      <c r="G15" s="93"/>
      <c r="H15" s="93"/>
      <c r="I15" s="93"/>
      <c r="J15" s="93"/>
      <c r="K15" s="93"/>
      <c r="L15" s="93"/>
    </row>
    <row r="16" spans="1:12" x14ac:dyDescent="0.2">
      <c r="A16" s="93"/>
      <c r="B16" s="93"/>
      <c r="C16" s="93"/>
      <c r="D16" s="93"/>
      <c r="E16" s="93"/>
      <c r="F16" s="93"/>
      <c r="G16" s="93"/>
      <c r="H16" s="93"/>
      <c r="I16" s="93"/>
      <c r="J16" s="93"/>
      <c r="K16" s="93"/>
      <c r="L16" s="93"/>
    </row>
    <row r="18" spans="1:12" ht="28.35" customHeight="1" x14ac:dyDescent="0.25">
      <c r="A18" s="3" t="s">
        <v>69</v>
      </c>
    </row>
    <row r="19" spans="1:12" ht="16.5" thickBot="1" x14ac:dyDescent="0.3">
      <c r="A19" s="1"/>
    </row>
    <row r="20" spans="1:12" ht="28.35" customHeight="1" x14ac:dyDescent="0.2">
      <c r="B20" s="126"/>
      <c r="C20" s="200" t="s">
        <v>70</v>
      </c>
      <c r="D20" s="201"/>
      <c r="E20" s="200" t="s">
        <v>71</v>
      </c>
      <c r="F20" s="201"/>
      <c r="G20" s="200" t="s">
        <v>72</v>
      </c>
      <c r="H20" s="201"/>
      <c r="I20" s="200" t="s">
        <v>73</v>
      </c>
      <c r="J20" s="201"/>
      <c r="K20" s="200" t="s">
        <v>78</v>
      </c>
      <c r="L20" s="201"/>
    </row>
    <row r="21" spans="1:12" ht="39" customHeight="1" thickBot="1" x14ac:dyDescent="0.25">
      <c r="B21" s="127"/>
      <c r="C21" s="202"/>
      <c r="D21" s="203"/>
      <c r="E21" s="202"/>
      <c r="F21" s="203"/>
      <c r="G21" s="202"/>
      <c r="H21" s="203"/>
      <c r="I21" s="202"/>
      <c r="J21" s="203"/>
      <c r="K21" s="202"/>
      <c r="L21" s="203"/>
    </row>
    <row r="22" spans="1:12" ht="28.35" customHeight="1" thickBot="1" x14ac:dyDescent="0.25">
      <c r="B22" s="205" t="s">
        <v>2</v>
      </c>
      <c r="C22" s="205" t="s">
        <v>74</v>
      </c>
      <c r="D22" s="205" t="s">
        <v>75</v>
      </c>
      <c r="E22" s="205" t="s">
        <v>74</v>
      </c>
      <c r="F22" s="205" t="s">
        <v>75</v>
      </c>
      <c r="G22" s="205" t="s">
        <v>74</v>
      </c>
      <c r="H22" s="205" t="s">
        <v>75</v>
      </c>
      <c r="I22" s="205" t="s">
        <v>74</v>
      </c>
      <c r="J22" s="205" t="s">
        <v>75</v>
      </c>
      <c r="K22" s="205" t="s">
        <v>74</v>
      </c>
      <c r="L22" s="205" t="s">
        <v>75</v>
      </c>
    </row>
    <row r="23" spans="1:12" ht="15" customHeight="1" thickBot="1" x14ac:dyDescent="0.25">
      <c r="B23" s="205"/>
      <c r="C23" s="205"/>
      <c r="D23" s="205"/>
      <c r="E23" s="205"/>
      <c r="F23" s="205"/>
      <c r="G23" s="205"/>
      <c r="H23" s="205"/>
      <c r="I23" s="205"/>
      <c r="J23" s="205"/>
      <c r="K23" s="205"/>
      <c r="L23" s="205"/>
    </row>
    <row r="24" spans="1:12" ht="28.35" customHeight="1" thickBot="1" x14ac:dyDescent="0.25">
      <c r="B24" s="49" t="s">
        <v>5</v>
      </c>
      <c r="C24" s="49">
        <f>8+16+6+12+12+13</f>
        <v>67</v>
      </c>
      <c r="D24" s="51">
        <f>C24/'2'!C20</f>
        <v>0.50375939849624063</v>
      </c>
      <c r="E24" s="49">
        <f>2+4+2+1</f>
        <v>9</v>
      </c>
      <c r="F24" s="51">
        <f>E24/'2'!C20</f>
        <v>6.7669172932330823E-2</v>
      </c>
      <c r="G24" s="49">
        <f>9+2+6+3+3+4</f>
        <v>27</v>
      </c>
      <c r="H24" s="51">
        <f>G24/'2'!C20</f>
        <v>0.20300751879699247</v>
      </c>
      <c r="I24" s="49">
        <f>2</f>
        <v>2</v>
      </c>
      <c r="J24" s="51">
        <f>I24/'2'!C20</f>
        <v>1.5037593984962405E-2</v>
      </c>
      <c r="K24" s="49">
        <v>3</v>
      </c>
      <c r="L24" s="51">
        <f>K24/'2'!C20</f>
        <v>2.2556390977443608E-2</v>
      </c>
    </row>
    <row r="25" spans="1:12" ht="28.35" customHeight="1" thickBot="1" x14ac:dyDescent="0.25">
      <c r="B25" s="49" t="s">
        <v>6</v>
      </c>
      <c r="C25" s="49">
        <f>17+5+9+10+11+8</f>
        <v>60</v>
      </c>
      <c r="D25" s="51">
        <f>C25/'2'!C21</f>
        <v>0.47619047619047616</v>
      </c>
      <c r="E25" s="49">
        <f>1+4+6+2+5+4</f>
        <v>22</v>
      </c>
      <c r="F25" s="51">
        <f>E25/'2'!C21</f>
        <v>0.17460317460317459</v>
      </c>
      <c r="G25" s="49">
        <f>2+4+4+3+2</f>
        <v>15</v>
      </c>
      <c r="H25" s="51">
        <f>G25/'2'!C21</f>
        <v>0.11904761904761904</v>
      </c>
      <c r="I25" s="49">
        <v>2</v>
      </c>
      <c r="J25" s="51">
        <f>I25/'2'!C21</f>
        <v>1.5873015873015872E-2</v>
      </c>
      <c r="K25" s="49">
        <v>10</v>
      </c>
      <c r="L25" s="51">
        <f>K25/'2'!C21</f>
        <v>7.9365079365079361E-2</v>
      </c>
    </row>
    <row r="26" spans="1:12" ht="28.35" customHeight="1" thickBot="1" x14ac:dyDescent="0.25">
      <c r="B26" s="49" t="s">
        <v>7</v>
      </c>
      <c r="C26" s="49">
        <f>6+6+7+5+8+10+4+5</f>
        <v>51</v>
      </c>
      <c r="D26" s="51">
        <f>C26/'2'!C22</f>
        <v>0.31481481481481483</v>
      </c>
      <c r="E26" s="49">
        <f>0+3+0+2+3+5+4+1</f>
        <v>18</v>
      </c>
      <c r="F26" s="51">
        <f>E26/'2'!C22</f>
        <v>0.1111111111111111</v>
      </c>
      <c r="G26" s="49">
        <f>0+3+5+2+2+2+2+3</f>
        <v>19</v>
      </c>
      <c r="H26" s="51">
        <f>G26/'2'!C22</f>
        <v>0.11728395061728394</v>
      </c>
      <c r="I26" s="49">
        <f>4+2+0+0+1+3+1+0</f>
        <v>11</v>
      </c>
      <c r="J26" s="51">
        <f>I26/'2'!C22</f>
        <v>6.7901234567901231E-2</v>
      </c>
      <c r="K26" s="49">
        <f>1+0+0+1+0+0+1+2</f>
        <v>5</v>
      </c>
      <c r="L26" s="51">
        <f>K26/'2'!C22</f>
        <v>3.0864197530864196E-2</v>
      </c>
    </row>
    <row r="27" spans="1:12" ht="28.35" customHeight="1" thickBot="1" x14ac:dyDescent="0.25">
      <c r="B27" s="181" t="s">
        <v>8</v>
      </c>
      <c r="C27" s="49">
        <f>8+6+9+3+7+6</f>
        <v>39</v>
      </c>
      <c r="D27" s="51">
        <f>C27/'2'!C23</f>
        <v>0.32500000000000001</v>
      </c>
      <c r="E27" s="49">
        <f>5+4+4+6+8+5</f>
        <v>32</v>
      </c>
      <c r="F27" s="51">
        <f>E27/'2'!C23</f>
        <v>0.26666666666666666</v>
      </c>
      <c r="G27" s="49">
        <f>0+4+5+4+6+5</f>
        <v>24</v>
      </c>
      <c r="H27" s="51">
        <f>G27/'2'!C23</f>
        <v>0.2</v>
      </c>
      <c r="I27" s="49">
        <f>2+0+1+2+2+1</f>
        <v>8</v>
      </c>
      <c r="J27" s="51">
        <f>I27/'2'!C23</f>
        <v>6.6666666666666666E-2</v>
      </c>
      <c r="K27" s="49">
        <f>1+1</f>
        <v>2</v>
      </c>
      <c r="L27" s="51">
        <f>K27/'2'!C23</f>
        <v>1.6666666666666666E-2</v>
      </c>
    </row>
    <row r="28" spans="1:12" ht="28.35" customHeight="1" thickBot="1" x14ac:dyDescent="0.25">
      <c r="B28" s="181" t="s">
        <v>9</v>
      </c>
      <c r="C28" s="181">
        <f>5+11+8+16+17</f>
        <v>57</v>
      </c>
      <c r="D28" s="51">
        <f>C28/'[1]2 - PROG-RET ALUNOS'!C12</f>
        <v>0.48305084745762711</v>
      </c>
      <c r="E28" s="181">
        <f>4+3+6+2+4</f>
        <v>19</v>
      </c>
      <c r="F28" s="51">
        <f>E28/'[1]2 - PROG-RET ALUNOS'!C12</f>
        <v>0.16101694915254236</v>
      </c>
      <c r="G28" s="181">
        <f>5+1+6+2+7</f>
        <v>21</v>
      </c>
      <c r="H28" s="51">
        <f>G28/'[1]2 - PROG-RET ALUNOS'!C12</f>
        <v>0.17796610169491525</v>
      </c>
      <c r="I28" s="181">
        <v>0</v>
      </c>
      <c r="J28" s="51">
        <f>I28/'[1]2 - PROG-RET ALUNOS'!C12</f>
        <v>0</v>
      </c>
      <c r="K28" s="181">
        <v>0</v>
      </c>
      <c r="L28" s="51">
        <f>K28/'[1]2 - PROG-RET ALUNOS'!C12</f>
        <v>0</v>
      </c>
    </row>
    <row r="29" spans="1:12" ht="28.35" customHeight="1" thickBot="1" x14ac:dyDescent="0.25">
      <c r="B29" s="90" t="s">
        <v>11</v>
      </c>
      <c r="C29" s="49">
        <f>SUM(C24:C27)</f>
        <v>217</v>
      </c>
      <c r="D29" s="51">
        <f>C29/('2'!C26-'2'!C25)</f>
        <v>0.3292867981790592</v>
      </c>
      <c r="E29" s="49">
        <f>SUM(E24:E27)</f>
        <v>81</v>
      </c>
      <c r="F29" s="51">
        <f>E29/('2'!C26-'2'!C25)</f>
        <v>0.12291350531107739</v>
      </c>
      <c r="G29" s="49">
        <f>SUM(G24:G27)</f>
        <v>85</v>
      </c>
      <c r="H29" s="51">
        <f>G29/('2'!C26-'2'!C25)</f>
        <v>0.12898330804248861</v>
      </c>
      <c r="I29" s="49">
        <f>SUM(I24:I27)</f>
        <v>23</v>
      </c>
      <c r="J29" s="51">
        <f>I29/('2'!C26-'2'!C25)</f>
        <v>3.490136570561457E-2</v>
      </c>
      <c r="K29" s="49">
        <f>SUM(K24:K27)</f>
        <v>20</v>
      </c>
      <c r="L29" s="51">
        <f>K29/('2'!C26-'2'!C25)</f>
        <v>3.0349013657056147E-2</v>
      </c>
    </row>
    <row r="30" spans="1:12" x14ac:dyDescent="0.2">
      <c r="L30" s="93"/>
    </row>
    <row r="32" spans="1:12" ht="15.75" x14ac:dyDescent="0.25">
      <c r="A32" s="1"/>
      <c r="K32" s="34"/>
    </row>
    <row r="33" spans="1:13" ht="15.75" x14ac:dyDescent="0.25">
      <c r="A33" s="3"/>
    </row>
    <row r="34" spans="1:13" ht="15.75" x14ac:dyDescent="0.25">
      <c r="A34" s="1"/>
    </row>
    <row r="36" spans="1:13" ht="15.75" x14ac:dyDescent="0.25">
      <c r="A36" s="1"/>
      <c r="E36" s="17"/>
    </row>
    <row r="37" spans="1:13" ht="15.75" x14ac:dyDescent="0.25">
      <c r="A37" s="1"/>
      <c r="F37" s="18"/>
    </row>
    <row r="38" spans="1:13" ht="15.75" x14ac:dyDescent="0.25">
      <c r="A38" s="1"/>
      <c r="F38" s="18"/>
    </row>
    <row r="39" spans="1:13" ht="15.75" x14ac:dyDescent="0.25">
      <c r="A39" s="1"/>
      <c r="F39" s="18"/>
    </row>
    <row r="40" spans="1:13" ht="15.75" x14ac:dyDescent="0.25">
      <c r="A40" s="1"/>
    </row>
    <row r="41" spans="1:13" ht="15.75" x14ac:dyDescent="0.25">
      <c r="A41" s="1"/>
    </row>
    <row r="42" spans="1:13" ht="15.75" x14ac:dyDescent="0.25">
      <c r="A42" s="1"/>
    </row>
    <row r="43" spans="1:13" ht="15.75" x14ac:dyDescent="0.25">
      <c r="A43" s="1"/>
    </row>
    <row r="45" spans="1:13" x14ac:dyDescent="0.2">
      <c r="M45">
        <v>4</v>
      </c>
    </row>
  </sheetData>
  <mergeCells count="17">
    <mergeCell ref="C20:D21"/>
    <mergeCell ref="E20:F21"/>
    <mergeCell ref="G20:H21"/>
    <mergeCell ref="I20:J21"/>
    <mergeCell ref="A2:H2"/>
    <mergeCell ref="L22:L23"/>
    <mergeCell ref="J22:J23"/>
    <mergeCell ref="I22:I23"/>
    <mergeCell ref="G22:G23"/>
    <mergeCell ref="H22:H23"/>
    <mergeCell ref="K22:K23"/>
    <mergeCell ref="B22:B23"/>
    <mergeCell ref="C22:C23"/>
    <mergeCell ref="D22:D23"/>
    <mergeCell ref="E22:E23"/>
    <mergeCell ref="F22:F23"/>
    <mergeCell ref="K20:L21"/>
  </mergeCells>
  <printOptions horizontalCentered="1"/>
  <pageMargins left="0.78740157480314965" right="0.78740157480314965"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2"/>
  </sheetPr>
  <dimension ref="A1:J65"/>
  <sheetViews>
    <sheetView view="pageLayout" zoomScaleNormal="100" zoomScaleSheetLayoutView="100" workbookViewId="0">
      <selection activeCell="I64" sqref="I64"/>
    </sheetView>
  </sheetViews>
  <sheetFormatPr defaultRowHeight="12.75" x14ac:dyDescent="0.2"/>
  <cols>
    <col min="1" max="1" width="6.5703125" customWidth="1"/>
    <col min="2" max="2" width="12.42578125" customWidth="1"/>
    <col min="3" max="3" width="16" customWidth="1"/>
    <col min="4" max="4" width="12.85546875" customWidth="1"/>
    <col min="5" max="5" width="16.28515625" customWidth="1"/>
    <col min="6" max="6" width="12.42578125" customWidth="1"/>
    <col min="7" max="7" width="16.140625" customWidth="1"/>
    <col min="8" max="8" width="7.140625" customWidth="1"/>
    <col min="9" max="9" width="12.7109375" bestFit="1" customWidth="1"/>
    <col min="10" max="10" width="10" customWidth="1"/>
    <col min="11" max="11" width="12.42578125" customWidth="1"/>
    <col min="12" max="12" width="13.140625" bestFit="1" customWidth="1"/>
  </cols>
  <sheetData>
    <row r="1" spans="1:9" ht="18.75" x14ac:dyDescent="0.3">
      <c r="A1" s="194" t="s">
        <v>246</v>
      </c>
      <c r="B1" s="194"/>
      <c r="C1" s="194"/>
      <c r="D1" s="194"/>
      <c r="E1" s="194"/>
      <c r="F1" s="194"/>
      <c r="G1" s="194"/>
      <c r="H1" s="194"/>
      <c r="I1" s="194"/>
    </row>
    <row r="2" spans="1:9" ht="16.5" thickBot="1" x14ac:dyDescent="0.3">
      <c r="A2" s="52"/>
      <c r="B2" s="52"/>
      <c r="C2" s="52"/>
      <c r="D2" s="52"/>
      <c r="E2" s="52"/>
      <c r="F2" s="52"/>
      <c r="G2" s="52"/>
      <c r="H2" s="52"/>
      <c r="I2" s="52"/>
    </row>
    <row r="3" spans="1:9" ht="16.5" thickBot="1" x14ac:dyDescent="0.3">
      <c r="A3" s="13"/>
      <c r="B3" s="296" t="s">
        <v>137</v>
      </c>
      <c r="C3" s="296"/>
      <c r="D3" s="296"/>
      <c r="E3" s="296"/>
      <c r="F3" s="296"/>
      <c r="G3" s="296"/>
    </row>
    <row r="4" spans="1:9" ht="13.5" thickBot="1" x14ac:dyDescent="0.25">
      <c r="A4" s="205" t="s">
        <v>2</v>
      </c>
      <c r="B4" s="205" t="s">
        <v>133</v>
      </c>
      <c r="C4" s="205"/>
      <c r="D4" s="205" t="s">
        <v>134</v>
      </c>
      <c r="E4" s="205"/>
      <c r="F4" s="205" t="s">
        <v>176</v>
      </c>
      <c r="G4" s="205"/>
    </row>
    <row r="5" spans="1:9" ht="13.5" thickBot="1" x14ac:dyDescent="0.25">
      <c r="A5" s="205"/>
      <c r="B5" s="205"/>
      <c r="C5" s="205"/>
      <c r="D5" s="205"/>
      <c r="E5" s="205"/>
      <c r="F5" s="205"/>
      <c r="G5" s="205"/>
    </row>
    <row r="6" spans="1:9" ht="47.25" customHeight="1" thickBot="1" x14ac:dyDescent="0.25">
      <c r="A6" s="205"/>
      <c r="B6" s="75" t="s">
        <v>135</v>
      </c>
      <c r="C6" s="75" t="s">
        <v>136</v>
      </c>
      <c r="D6" s="75" t="s">
        <v>135</v>
      </c>
      <c r="E6" s="75" t="s">
        <v>136</v>
      </c>
      <c r="F6" s="75" t="s">
        <v>135</v>
      </c>
      <c r="G6" s="75" t="s">
        <v>136</v>
      </c>
    </row>
    <row r="7" spans="1:9" ht="28.35" customHeight="1" thickBot="1" x14ac:dyDescent="0.25">
      <c r="A7" s="49" t="s">
        <v>6</v>
      </c>
      <c r="B7" s="51">
        <v>0.309</v>
      </c>
      <c r="C7" s="50">
        <v>0.629</v>
      </c>
      <c r="D7" s="50">
        <v>0.28994082840236685</v>
      </c>
      <c r="E7" s="50">
        <v>0.26380368098159507</v>
      </c>
      <c r="F7" s="50">
        <f>'14 - CLAS. PROVAS E EXAMES'!E47</f>
        <v>0.36507936507936506</v>
      </c>
      <c r="G7" s="50">
        <f>'14 - CLAS. PROVAS E EXAMES'!J47</f>
        <v>0.5130434782608696</v>
      </c>
    </row>
    <row r="8" spans="1:9" ht="28.35" customHeight="1" thickBot="1" x14ac:dyDescent="0.25">
      <c r="A8" s="49" t="s">
        <v>9</v>
      </c>
      <c r="B8" s="51">
        <v>0.4</v>
      </c>
      <c r="C8" s="50">
        <v>0.84</v>
      </c>
      <c r="D8" s="50">
        <v>0.23008849557522124</v>
      </c>
      <c r="E8" s="50">
        <v>0.48148148148148145</v>
      </c>
      <c r="F8" s="50">
        <f>'14 - CLAS. PROVAS E EXAMES'!R47</f>
        <v>0.17821782178217821</v>
      </c>
      <c r="G8" s="50">
        <f>'14 - CLAS. PROVAS E EXAMES'!W47</f>
        <v>0.52475247524752477</v>
      </c>
    </row>
    <row r="10" spans="1:9" ht="27" customHeight="1" x14ac:dyDescent="0.2"/>
    <row r="11" spans="1:9" ht="27" customHeight="1" x14ac:dyDescent="0.2"/>
    <row r="12" spans="1:9" ht="15.75" x14ac:dyDescent="0.25">
      <c r="A12" s="13"/>
      <c r="B12" s="13"/>
      <c r="C12" s="13"/>
      <c r="D12" s="13"/>
      <c r="E12" s="13"/>
      <c r="F12" s="13"/>
      <c r="G12" s="13"/>
    </row>
    <row r="29" spans="1:9" ht="18.75" x14ac:dyDescent="0.3">
      <c r="A29" s="194" t="s">
        <v>247</v>
      </c>
      <c r="B29" s="194"/>
      <c r="C29" s="194"/>
      <c r="D29" s="194"/>
      <c r="E29" s="194"/>
      <c r="F29" s="194"/>
      <c r="G29" s="194"/>
      <c r="H29" s="194"/>
      <c r="I29" s="194"/>
    </row>
    <row r="30" spans="1:9" ht="13.5" thickBot="1" x14ac:dyDescent="0.25"/>
    <row r="31" spans="1:9" ht="16.5" thickBot="1" x14ac:dyDescent="0.3">
      <c r="A31" s="13"/>
      <c r="B31" s="296" t="s">
        <v>138</v>
      </c>
      <c r="C31" s="296"/>
      <c r="D31" s="296"/>
      <c r="E31" s="296"/>
      <c r="F31" s="296"/>
      <c r="G31" s="296"/>
    </row>
    <row r="32" spans="1:9" ht="13.5" thickBot="1" x14ac:dyDescent="0.25">
      <c r="A32" s="205" t="s">
        <v>2</v>
      </c>
      <c r="B32" s="205" t="s">
        <v>133</v>
      </c>
      <c r="C32" s="205"/>
      <c r="D32" s="205" t="s">
        <v>134</v>
      </c>
      <c r="E32" s="205"/>
      <c r="F32" s="205" t="s">
        <v>176</v>
      </c>
      <c r="G32" s="205"/>
    </row>
    <row r="33" spans="1:7" ht="13.5" thickBot="1" x14ac:dyDescent="0.25">
      <c r="A33" s="205"/>
      <c r="B33" s="205"/>
      <c r="C33" s="205"/>
      <c r="D33" s="205"/>
      <c r="E33" s="205"/>
      <c r="F33" s="205"/>
      <c r="G33" s="205"/>
    </row>
    <row r="34" spans="1:7" ht="32.25" thickBot="1" x14ac:dyDescent="0.25">
      <c r="A34" s="205"/>
      <c r="B34" s="75" t="s">
        <v>135</v>
      </c>
      <c r="C34" s="75" t="s">
        <v>136</v>
      </c>
      <c r="D34" s="75" t="s">
        <v>135</v>
      </c>
      <c r="E34" s="75" t="s">
        <v>136</v>
      </c>
      <c r="F34" s="75" t="s">
        <v>135</v>
      </c>
      <c r="G34" s="75" t="s">
        <v>136</v>
      </c>
    </row>
    <row r="35" spans="1:7" ht="28.35" customHeight="1" thickBot="1" x14ac:dyDescent="0.25">
      <c r="A35" s="49" t="s">
        <v>6</v>
      </c>
      <c r="B35" s="51">
        <v>0.26300000000000001</v>
      </c>
      <c r="C35" s="50">
        <v>0.26600000000000001</v>
      </c>
      <c r="D35" s="50">
        <v>0.18343195266272189</v>
      </c>
      <c r="E35" s="50">
        <v>0.12121212121212122</v>
      </c>
      <c r="F35" s="50">
        <f>'14 - CLAS. PROVAS E EXAMES'!E22</f>
        <v>0.25396825396825395</v>
      </c>
      <c r="G35" s="50">
        <f>'14 - CLAS. PROVAS E EXAMES'!J22</f>
        <v>0.30769230769230771</v>
      </c>
    </row>
    <row r="36" spans="1:7" ht="28.35" customHeight="1" thickBot="1" x14ac:dyDescent="0.25">
      <c r="A36" s="49" t="s">
        <v>9</v>
      </c>
      <c r="B36" s="51">
        <v>0.17</v>
      </c>
      <c r="C36" s="50">
        <v>4.8000000000000001E-2</v>
      </c>
      <c r="D36" s="50">
        <v>9.7345132743362831E-2</v>
      </c>
      <c r="E36" s="50">
        <v>9.2592592592592587E-2</v>
      </c>
      <c r="F36" s="50">
        <f>'14 - CLAS. PROVAS E EXAMES'!R22</f>
        <v>4.9504950495049507E-2</v>
      </c>
      <c r="G36" s="50">
        <f>'14 - CLAS. PROVAS E EXAMES'!W22</f>
        <v>0.18811881188118812</v>
      </c>
    </row>
    <row r="65" spans="10:10" x14ac:dyDescent="0.2">
      <c r="J65">
        <v>34</v>
      </c>
    </row>
  </sheetData>
  <mergeCells count="10">
    <mergeCell ref="A4:A6"/>
    <mergeCell ref="A32:A34"/>
    <mergeCell ref="B3:G3"/>
    <mergeCell ref="B4:C5"/>
    <mergeCell ref="D4:E5"/>
    <mergeCell ref="F4:G5"/>
    <mergeCell ref="B32:C33"/>
    <mergeCell ref="D32:E33"/>
    <mergeCell ref="F32:G33"/>
    <mergeCell ref="B31:G31"/>
  </mergeCells>
  <phoneticPr fontId="6" type="noConversion"/>
  <pageMargins left="0.78740157480314965" right="0.78740157480314965" top="0.98425196850393704" bottom="0.98425196850393704" header="0" footer="0"/>
  <pageSetup paperSize="9" scale="67"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2"/>
  </sheetPr>
  <dimension ref="A1:O72"/>
  <sheetViews>
    <sheetView view="pageLayout" zoomScaleNormal="100" workbookViewId="0">
      <selection activeCell="O13" sqref="O13"/>
    </sheetView>
  </sheetViews>
  <sheetFormatPr defaultColWidth="6.42578125" defaultRowHeight="12.75" x14ac:dyDescent="0.2"/>
  <cols>
    <col min="1" max="1" width="6.7109375" customWidth="1"/>
    <col min="4" max="4" width="9.28515625" bestFit="1" customWidth="1"/>
    <col min="5" max="5" width="9.85546875" bestFit="1" customWidth="1"/>
    <col min="6" max="9" width="9.28515625" bestFit="1" customWidth="1"/>
    <col min="10" max="10" width="9.28515625" customWidth="1"/>
    <col min="11" max="11" width="8.5703125" customWidth="1"/>
    <col min="12" max="12" width="8" customWidth="1"/>
    <col min="17" max="19" width="7.5703125" bestFit="1" customWidth="1"/>
    <col min="22" max="22" width="7.42578125" customWidth="1"/>
  </cols>
  <sheetData>
    <row r="1" spans="1:14" ht="15.75" x14ac:dyDescent="0.25">
      <c r="A1" s="286" t="s">
        <v>248</v>
      </c>
      <c r="B1" s="286"/>
      <c r="C1" s="286"/>
      <c r="D1" s="286"/>
      <c r="E1" s="286"/>
      <c r="F1" s="286"/>
      <c r="G1" s="286"/>
      <c r="H1" s="286"/>
      <c r="I1" s="286"/>
      <c r="J1" s="286"/>
      <c r="K1" s="286"/>
      <c r="L1" s="286"/>
      <c r="M1" s="286"/>
      <c r="N1" s="286"/>
    </row>
    <row r="3" spans="1:14" ht="13.5" thickBot="1" x14ac:dyDescent="0.25"/>
    <row r="4" spans="1:14" ht="16.5" customHeight="1" thickBot="1" x14ac:dyDescent="0.3">
      <c r="C4" s="13"/>
      <c r="D4" s="298" t="s">
        <v>162</v>
      </c>
      <c r="E4" s="299"/>
      <c r="F4" s="299"/>
      <c r="G4" s="299"/>
      <c r="H4" s="299"/>
      <c r="I4" s="299"/>
      <c r="J4" s="299"/>
      <c r="K4" s="299"/>
      <c r="L4" s="300"/>
    </row>
    <row r="5" spans="1:14" ht="15.75" customHeight="1" thickBot="1" x14ac:dyDescent="0.3">
      <c r="C5" s="13"/>
      <c r="D5" s="301" t="s">
        <v>133</v>
      </c>
      <c r="E5" s="302"/>
      <c r="F5" s="302"/>
      <c r="G5" s="302" t="s">
        <v>134</v>
      </c>
      <c r="H5" s="302"/>
      <c r="I5" s="303"/>
      <c r="J5" s="297" t="s">
        <v>176</v>
      </c>
      <c r="K5" s="205"/>
      <c r="L5" s="205"/>
    </row>
    <row r="6" spans="1:14" ht="16.5" thickBot="1" x14ac:dyDescent="0.3">
      <c r="C6" s="13"/>
      <c r="D6" s="301"/>
      <c r="E6" s="302"/>
      <c r="F6" s="302"/>
      <c r="G6" s="302"/>
      <c r="H6" s="302"/>
      <c r="I6" s="303"/>
      <c r="J6" s="297"/>
      <c r="K6" s="205"/>
      <c r="L6" s="205"/>
    </row>
    <row r="7" spans="1:14" ht="13.5" thickBot="1" x14ac:dyDescent="0.25">
      <c r="C7" s="211" t="s">
        <v>2</v>
      </c>
      <c r="D7" s="205" t="s">
        <v>142</v>
      </c>
      <c r="E7" s="205" t="s">
        <v>84</v>
      </c>
      <c r="F7" s="301" t="s">
        <v>143</v>
      </c>
      <c r="G7" s="297" t="s">
        <v>142</v>
      </c>
      <c r="H7" s="205" t="s">
        <v>84</v>
      </c>
      <c r="I7" s="216" t="s">
        <v>143</v>
      </c>
      <c r="J7" s="297" t="s">
        <v>142</v>
      </c>
      <c r="K7" s="205" t="s">
        <v>84</v>
      </c>
      <c r="L7" s="205" t="s">
        <v>143</v>
      </c>
    </row>
    <row r="8" spans="1:14" ht="13.5" thickBot="1" x14ac:dyDescent="0.25">
      <c r="C8" s="212"/>
      <c r="D8" s="205"/>
      <c r="E8" s="205"/>
      <c r="F8" s="301"/>
      <c r="G8" s="297"/>
      <c r="H8" s="205"/>
      <c r="I8" s="216"/>
      <c r="J8" s="297"/>
      <c r="K8" s="205"/>
      <c r="L8" s="205"/>
    </row>
    <row r="9" spans="1:14" s="93" customFormat="1" ht="28.35" customHeight="1" thickBot="1" x14ac:dyDescent="0.25">
      <c r="C9" s="160" t="s">
        <v>5</v>
      </c>
      <c r="D9" s="50">
        <v>0.54200000000000004</v>
      </c>
      <c r="E9" s="50">
        <v>0.36799999999999999</v>
      </c>
      <c r="F9" s="63" t="s">
        <v>118</v>
      </c>
      <c r="G9" s="62">
        <v>0.38235294117647056</v>
      </c>
      <c r="H9" s="50">
        <v>0.44897959183673469</v>
      </c>
      <c r="I9" s="63" t="s">
        <v>118</v>
      </c>
      <c r="J9" s="62">
        <f>'12 - APOIO EDUCATIVO'!E24</f>
        <v>0.55172413793103448</v>
      </c>
      <c r="K9" s="50">
        <f>'12 - APOIO EDUCATIVO'!H24</f>
        <v>0.5</v>
      </c>
      <c r="L9" s="50">
        <f>'12 - APOIO EDUCATIVO'!K24</f>
        <v>0.52941176470588236</v>
      </c>
    </row>
    <row r="10" spans="1:14" s="93" customFormat="1" ht="28.35" customHeight="1" thickBot="1" x14ac:dyDescent="0.25">
      <c r="C10" s="160" t="s">
        <v>6</v>
      </c>
      <c r="D10" s="50">
        <v>0.38100000000000001</v>
      </c>
      <c r="E10" s="50">
        <v>0.5</v>
      </c>
      <c r="F10" s="61">
        <v>0.77700000000000002</v>
      </c>
      <c r="G10" s="62">
        <v>0.7857142857142857</v>
      </c>
      <c r="H10" s="50">
        <v>0.61764705882352944</v>
      </c>
      <c r="I10" s="61">
        <v>0.65517241379310343</v>
      </c>
      <c r="J10" s="62">
        <f>'12 - APOIO EDUCATIVO'!E25</f>
        <v>0.45161290322580644</v>
      </c>
      <c r="K10" s="50">
        <f>'12 - APOIO EDUCATIVO'!H25</f>
        <v>0.47619047619047616</v>
      </c>
      <c r="L10" s="50">
        <f>'12 - APOIO EDUCATIVO'!K25</f>
        <v>0.375</v>
      </c>
    </row>
    <row r="11" spans="1:14" s="93" customFormat="1" ht="28.35" customHeight="1" thickBot="1" x14ac:dyDescent="0.25">
      <c r="C11" s="160" t="s">
        <v>7</v>
      </c>
      <c r="D11" s="50">
        <v>0.4</v>
      </c>
      <c r="E11" s="50">
        <v>1</v>
      </c>
      <c r="F11" s="61">
        <v>0.36399999999999999</v>
      </c>
      <c r="G11" s="62">
        <v>0.17073170731707318</v>
      </c>
      <c r="H11" s="50">
        <v>0.52631578947368418</v>
      </c>
      <c r="I11" s="61">
        <v>0.41666666666666669</v>
      </c>
      <c r="J11" s="62">
        <f>'12 - APOIO EDUCATIVO'!E26</f>
        <v>0.5714285714285714</v>
      </c>
      <c r="K11" s="50">
        <f>'12 - APOIO EDUCATIVO'!H26</f>
        <v>0.46153846153846156</v>
      </c>
      <c r="L11" s="50">
        <f>'12 - APOIO EDUCATIVO'!K26</f>
        <v>0.4</v>
      </c>
    </row>
    <row r="12" spans="1:14" s="93" customFormat="1" ht="28.35" customHeight="1" thickBot="1" x14ac:dyDescent="0.25">
      <c r="C12" s="160" t="s">
        <v>8</v>
      </c>
      <c r="D12" s="50">
        <v>5.2999999999999999E-2</v>
      </c>
      <c r="E12" s="50">
        <v>0.375</v>
      </c>
      <c r="F12" s="61">
        <v>0</v>
      </c>
      <c r="G12" s="62">
        <v>0.66666666666666663</v>
      </c>
      <c r="H12" s="64">
        <v>0</v>
      </c>
      <c r="I12" s="61">
        <v>0.65384615384615385</v>
      </c>
      <c r="J12" s="62">
        <f>'12 - APOIO EDUCATIVO'!E27</f>
        <v>0.25</v>
      </c>
      <c r="K12" s="50">
        <f>'12 - APOIO EDUCATIVO'!H27</f>
        <v>0.5714285714285714</v>
      </c>
      <c r="L12" s="50">
        <f>'12 - APOIO EDUCATIVO'!K27</f>
        <v>0.375</v>
      </c>
    </row>
    <row r="13" spans="1:14" s="93" customFormat="1" ht="28.35" customHeight="1" thickBot="1" x14ac:dyDescent="0.25">
      <c r="C13" s="160" t="s">
        <v>9</v>
      </c>
      <c r="D13" s="50">
        <v>0.71399999999999997</v>
      </c>
      <c r="E13" s="50">
        <v>0</v>
      </c>
      <c r="F13" s="63" t="s">
        <v>118</v>
      </c>
      <c r="G13" s="62">
        <v>0.88888888888888884</v>
      </c>
      <c r="H13" s="50">
        <v>0.33333333333333331</v>
      </c>
      <c r="I13" s="61">
        <v>0.33333333333333331</v>
      </c>
      <c r="J13" s="62">
        <f>'12 - APOIO EDUCATIVO'!E28</f>
        <v>0.84210526315789469</v>
      </c>
      <c r="K13" s="50">
        <f>'12 - APOIO EDUCATIVO'!H28</f>
        <v>0.3</v>
      </c>
      <c r="L13" s="50">
        <f>'12 - APOIO EDUCATIVO'!K28</f>
        <v>0.69230769230769229</v>
      </c>
    </row>
    <row r="72" spans="15:15" x14ac:dyDescent="0.2">
      <c r="O72">
        <v>35</v>
      </c>
    </row>
  </sheetData>
  <mergeCells count="15">
    <mergeCell ref="A1:N1"/>
    <mergeCell ref="C7:C8"/>
    <mergeCell ref="J7:J8"/>
    <mergeCell ref="K7:K8"/>
    <mergeCell ref="L7:L8"/>
    <mergeCell ref="J5:L6"/>
    <mergeCell ref="D4:L4"/>
    <mergeCell ref="G7:G8"/>
    <mergeCell ref="H7:H8"/>
    <mergeCell ref="I7:I8"/>
    <mergeCell ref="D5:F6"/>
    <mergeCell ref="G5:I6"/>
    <mergeCell ref="D7:D8"/>
    <mergeCell ref="E7:E8"/>
    <mergeCell ref="F7:F8"/>
  </mergeCells>
  <phoneticPr fontId="6" type="noConversion"/>
  <pageMargins left="0.78740157499999996" right="0.78740157499999996"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view="pageLayout" zoomScaleNormal="100" workbookViewId="0">
      <selection activeCell="L47" sqref="L47"/>
    </sheetView>
  </sheetViews>
  <sheetFormatPr defaultRowHeight="12.75" x14ac:dyDescent="0.2"/>
  <sheetData>
    <row r="1" spans="1:11" ht="18.75" x14ac:dyDescent="0.3">
      <c r="A1" s="204" t="s">
        <v>228</v>
      </c>
      <c r="B1" s="204"/>
      <c r="C1" s="204"/>
      <c r="D1" s="204"/>
      <c r="E1" s="204"/>
      <c r="F1" s="204"/>
      <c r="G1" s="204"/>
      <c r="H1" s="204"/>
      <c r="I1" s="204"/>
      <c r="J1" s="204"/>
      <c r="K1" s="204"/>
    </row>
    <row r="2" spans="1:11" ht="28.35" customHeight="1" x14ac:dyDescent="0.2"/>
    <row r="3" spans="1:11" ht="28.35" customHeight="1" x14ac:dyDescent="0.2"/>
    <row r="4" spans="1:11" ht="28.35" customHeight="1" x14ac:dyDescent="0.2"/>
    <row r="5" spans="1:11" ht="28.35" customHeight="1" x14ac:dyDescent="0.2"/>
    <row r="8" spans="1:11" x14ac:dyDescent="0.2">
      <c r="A8" s="93"/>
      <c r="B8" s="93"/>
      <c r="C8" s="93"/>
      <c r="D8" s="93"/>
      <c r="E8" s="93"/>
      <c r="F8" s="93"/>
      <c r="G8" s="93"/>
      <c r="H8" s="93"/>
      <c r="I8" s="93"/>
      <c r="J8" s="93"/>
      <c r="K8" s="93"/>
    </row>
    <row r="9" spans="1:11" x14ac:dyDescent="0.2">
      <c r="A9" s="93"/>
      <c r="B9" s="93"/>
      <c r="C9" s="93"/>
      <c r="D9" s="93"/>
      <c r="E9" s="93"/>
      <c r="F9" s="93"/>
      <c r="G9" s="93"/>
      <c r="H9" s="93"/>
      <c r="I9" s="93"/>
      <c r="J9" s="93"/>
      <c r="K9" s="93"/>
    </row>
    <row r="10" spans="1:11" ht="28.35" customHeight="1" x14ac:dyDescent="0.25">
      <c r="A10" s="3" t="s">
        <v>76</v>
      </c>
    </row>
    <row r="11" spans="1:11" ht="28.35" customHeight="1" thickBot="1" x14ac:dyDescent="0.25"/>
    <row r="12" spans="1:11" ht="28.35" customHeight="1" thickBot="1" x14ac:dyDescent="0.25">
      <c r="C12" s="207"/>
      <c r="D12" s="206" t="s">
        <v>53</v>
      </c>
      <c r="E12" s="206"/>
      <c r="F12" s="206" t="s">
        <v>54</v>
      </c>
      <c r="G12" s="206"/>
      <c r="H12" s="206" t="s">
        <v>77</v>
      </c>
      <c r="I12" s="206"/>
    </row>
    <row r="13" spans="1:11" ht="28.35" customHeight="1" thickBot="1" x14ac:dyDescent="0.25">
      <c r="C13" s="208"/>
      <c r="D13" s="206"/>
      <c r="E13" s="206"/>
      <c r="F13" s="206"/>
      <c r="G13" s="206"/>
      <c r="H13" s="206"/>
      <c r="I13" s="206"/>
    </row>
    <row r="14" spans="1:11" ht="28.35" customHeight="1" thickBot="1" x14ac:dyDescent="0.25">
      <c r="A14" s="93"/>
      <c r="B14" s="93"/>
      <c r="C14" s="208"/>
      <c r="D14" s="206"/>
      <c r="E14" s="206"/>
      <c r="F14" s="206"/>
      <c r="G14" s="206"/>
      <c r="H14" s="206"/>
      <c r="I14" s="206"/>
      <c r="J14" s="93"/>
    </row>
    <row r="15" spans="1:11" ht="28.35" customHeight="1" thickBot="1" x14ac:dyDescent="0.25">
      <c r="A15" s="93"/>
      <c r="B15" s="93"/>
      <c r="C15" s="205" t="s">
        <v>2</v>
      </c>
      <c r="D15" s="205" t="s">
        <v>74</v>
      </c>
      <c r="E15" s="205" t="s">
        <v>75</v>
      </c>
      <c r="F15" s="205" t="s">
        <v>74</v>
      </c>
      <c r="G15" s="205" t="s">
        <v>75</v>
      </c>
      <c r="H15" s="205" t="s">
        <v>74</v>
      </c>
      <c r="I15" s="205" t="s">
        <v>75</v>
      </c>
      <c r="J15" s="93"/>
    </row>
    <row r="16" spans="1:11" ht="28.35" customHeight="1" thickBot="1" x14ac:dyDescent="0.25">
      <c r="A16" s="93"/>
      <c r="B16" s="93"/>
      <c r="C16" s="205"/>
      <c r="D16" s="205"/>
      <c r="E16" s="205"/>
      <c r="F16" s="205"/>
      <c r="G16" s="205"/>
      <c r="H16" s="205"/>
      <c r="I16" s="205"/>
      <c r="J16" s="93"/>
    </row>
    <row r="17" spans="1:10" ht="28.35" customHeight="1" thickBot="1" x14ac:dyDescent="0.25">
      <c r="A17" s="93"/>
      <c r="B17" s="93"/>
      <c r="C17" s="49" t="s">
        <v>5</v>
      </c>
      <c r="D17" s="49">
        <f>10</f>
        <v>10</v>
      </c>
      <c r="E17" s="51">
        <f>D17/'2'!C20</f>
        <v>7.5187969924812026E-2</v>
      </c>
      <c r="F17" s="49">
        <f>11+1+4+2+1+2</f>
        <v>21</v>
      </c>
      <c r="G17" s="51">
        <f>F17/'2'!C20</f>
        <v>0.15789473684210525</v>
      </c>
      <c r="H17" s="49">
        <v>2</v>
      </c>
      <c r="I17" s="51">
        <f>H17/'2'!C20</f>
        <v>1.5037593984962405E-2</v>
      </c>
      <c r="J17" s="93"/>
    </row>
    <row r="18" spans="1:10" ht="28.35" customHeight="1" thickBot="1" x14ac:dyDescent="0.25">
      <c r="A18" s="93"/>
      <c r="B18" s="93"/>
      <c r="C18" s="49" t="s">
        <v>6</v>
      </c>
      <c r="D18" s="49">
        <f>1+3+3+4+2</f>
        <v>13</v>
      </c>
      <c r="E18" s="51">
        <f>D18/'2'!C21</f>
        <v>0.10317460317460317</v>
      </c>
      <c r="F18" s="49">
        <f>1+5+5+6+8+3</f>
        <v>28</v>
      </c>
      <c r="G18" s="51">
        <f>F18/'2'!C21</f>
        <v>0.22222222222222221</v>
      </c>
      <c r="H18" s="49">
        <f>1+3+3+2</f>
        <v>9</v>
      </c>
      <c r="I18" s="51">
        <f>H18/'2'!C21</f>
        <v>7.1428571428571425E-2</v>
      </c>
      <c r="J18" s="93"/>
    </row>
    <row r="19" spans="1:10" ht="28.35" customHeight="1" thickBot="1" x14ac:dyDescent="0.25">
      <c r="A19" s="93"/>
      <c r="B19" s="93"/>
      <c r="C19" s="49" t="s">
        <v>7</v>
      </c>
      <c r="D19" s="49">
        <f>2+1+1+2+2+4</f>
        <v>12</v>
      </c>
      <c r="E19" s="51">
        <f>D19/'2'!C22</f>
        <v>7.407407407407407E-2</v>
      </c>
      <c r="F19" s="49">
        <f>3+2+1+4+1+3+1</f>
        <v>15</v>
      </c>
      <c r="G19" s="51">
        <f>F19/'2'!C22</f>
        <v>9.2592592592592587E-2</v>
      </c>
      <c r="H19" s="49">
        <f>1+3+1</f>
        <v>5</v>
      </c>
      <c r="I19" s="51">
        <f>H19/'2'!C22</f>
        <v>3.0864197530864196E-2</v>
      </c>
      <c r="J19" s="93"/>
    </row>
    <row r="20" spans="1:10" ht="28.35" customHeight="1" thickBot="1" x14ac:dyDescent="0.25">
      <c r="A20" s="93"/>
      <c r="B20" s="93"/>
      <c r="C20" s="49" t="s">
        <v>8</v>
      </c>
      <c r="D20" s="49">
        <f>4+2+7+4+10+10</f>
        <v>37</v>
      </c>
      <c r="E20" s="51">
        <f>D20/'2'!C23</f>
        <v>0.30833333333333335</v>
      </c>
      <c r="F20" s="49">
        <f>3+2+5</f>
        <v>10</v>
      </c>
      <c r="G20" s="51">
        <f>F20/'2'!C23</f>
        <v>8.3333333333333329E-2</v>
      </c>
      <c r="H20" s="49">
        <f>1+2+1+2+3+2</f>
        <v>11</v>
      </c>
      <c r="I20" s="51">
        <f>H20/'2'!C23</f>
        <v>9.166666666666666E-2</v>
      </c>
      <c r="J20" s="93"/>
    </row>
    <row r="21" spans="1:10" ht="28.35" customHeight="1" thickBot="1" x14ac:dyDescent="0.25">
      <c r="A21" s="93"/>
      <c r="B21" s="93"/>
      <c r="C21" s="49" t="s">
        <v>9</v>
      </c>
      <c r="D21" s="49">
        <f>0+2+0+1+0</f>
        <v>3</v>
      </c>
      <c r="E21" s="51">
        <f>D21/'2'!C24</f>
        <v>2.5423728813559324E-2</v>
      </c>
      <c r="F21" s="49">
        <f>4+3+2+6</f>
        <v>15</v>
      </c>
      <c r="G21" s="51">
        <f>F21/'2'!C24</f>
        <v>0.1271186440677966</v>
      </c>
      <c r="H21" s="49">
        <f>0</f>
        <v>0</v>
      </c>
      <c r="I21" s="51">
        <f>H21/'2'!C24</f>
        <v>0</v>
      </c>
      <c r="J21" s="93"/>
    </row>
    <row r="22" spans="1:10" ht="28.35" customHeight="1" thickBot="1" x14ac:dyDescent="0.25">
      <c r="A22" s="100"/>
      <c r="B22" s="93"/>
      <c r="C22" s="49" t="s">
        <v>11</v>
      </c>
      <c r="D22" s="49">
        <f>SUM(D17:D21)</f>
        <v>75</v>
      </c>
      <c r="E22" s="51">
        <f>D22/('2'!C26-'2'!C25)</f>
        <v>0.11380880121396054</v>
      </c>
      <c r="F22" s="49">
        <f>SUM(F17:F21)</f>
        <v>89</v>
      </c>
      <c r="G22" s="51">
        <f>F22/('2'!C26-'2'!C25)</f>
        <v>0.13505311077389984</v>
      </c>
      <c r="H22" s="49">
        <f>SUM(H17:H21)</f>
        <v>27</v>
      </c>
      <c r="I22" s="51">
        <f>H22/('2'!C26-'2'!C25)</f>
        <v>4.09711684370258E-2</v>
      </c>
      <c r="J22" s="93"/>
    </row>
    <row r="23" spans="1:10" ht="15.75" x14ac:dyDescent="0.25">
      <c r="A23" s="3"/>
      <c r="C23" s="35"/>
      <c r="D23" s="36"/>
      <c r="E23" s="37"/>
      <c r="F23" s="36"/>
      <c r="G23" s="37"/>
      <c r="H23" s="36"/>
      <c r="I23" s="37"/>
    </row>
    <row r="24" spans="1:10" ht="15.75" x14ac:dyDescent="0.25">
      <c r="A24" s="1"/>
    </row>
    <row r="26" spans="1:10" ht="15.75" x14ac:dyDescent="0.25">
      <c r="A26" s="1"/>
    </row>
    <row r="34" spans="1:10" x14ac:dyDescent="0.2">
      <c r="A34" s="10"/>
      <c r="B34" s="10"/>
      <c r="C34" s="10"/>
      <c r="D34" s="10"/>
      <c r="E34" s="10"/>
      <c r="F34" s="10"/>
      <c r="G34" s="10"/>
      <c r="H34" s="10"/>
      <c r="I34" s="10"/>
      <c r="J34" s="10"/>
    </row>
    <row r="35" spans="1:10" x14ac:dyDescent="0.2">
      <c r="A35" s="10"/>
      <c r="B35" s="10"/>
      <c r="C35" s="10"/>
      <c r="D35" s="10"/>
      <c r="E35" s="10"/>
      <c r="F35" s="10"/>
      <c r="G35" s="10"/>
      <c r="H35" s="10"/>
      <c r="I35" s="10"/>
      <c r="J35" s="10"/>
    </row>
    <row r="41" spans="1:10" ht="15.75" x14ac:dyDescent="0.2">
      <c r="A41" s="76"/>
      <c r="B41" s="76"/>
      <c r="C41" s="76"/>
      <c r="D41" s="76"/>
      <c r="E41" s="76"/>
      <c r="F41" s="76"/>
      <c r="G41" s="76"/>
      <c r="H41" s="76"/>
      <c r="I41" s="76"/>
      <c r="J41" s="76"/>
    </row>
    <row r="42" spans="1:10" ht="15.75" x14ac:dyDescent="0.2">
      <c r="A42" s="76"/>
      <c r="B42" s="76"/>
      <c r="C42" s="76"/>
      <c r="D42" s="76"/>
      <c r="E42" s="76"/>
      <c r="F42" s="76"/>
      <c r="G42" s="76"/>
      <c r="H42" s="76"/>
      <c r="I42" s="76"/>
      <c r="J42" s="76"/>
    </row>
    <row r="43" spans="1:10" ht="15.75" x14ac:dyDescent="0.2">
      <c r="A43" s="76"/>
      <c r="B43" s="76"/>
      <c r="C43" s="76"/>
      <c r="D43" s="76"/>
      <c r="E43" s="76"/>
      <c r="F43" s="76"/>
      <c r="G43" s="76"/>
      <c r="H43" s="76"/>
      <c r="I43" s="76"/>
      <c r="J43" s="76"/>
    </row>
    <row r="44" spans="1:10" ht="15.75" x14ac:dyDescent="0.2">
      <c r="A44" s="66"/>
      <c r="B44" s="66"/>
      <c r="C44" s="66"/>
      <c r="D44" s="66"/>
      <c r="E44" s="66"/>
      <c r="F44" s="66"/>
      <c r="G44" s="66"/>
      <c r="H44" s="66"/>
      <c r="I44" s="66"/>
      <c r="J44" s="66"/>
    </row>
    <row r="57" spans="13:13" x14ac:dyDescent="0.2">
      <c r="M57">
        <v>5</v>
      </c>
    </row>
  </sheetData>
  <mergeCells count="12">
    <mergeCell ref="D15:D16"/>
    <mergeCell ref="E15:E16"/>
    <mergeCell ref="A1:K1"/>
    <mergeCell ref="D12:E14"/>
    <mergeCell ref="F12:G14"/>
    <mergeCell ref="H12:I14"/>
    <mergeCell ref="F15:F16"/>
    <mergeCell ref="G15:G16"/>
    <mergeCell ref="C12:C14"/>
    <mergeCell ref="C15:C16"/>
    <mergeCell ref="H15:H16"/>
    <mergeCell ref="I15:I16"/>
  </mergeCells>
  <printOptions horizontalCentered="1"/>
  <pageMargins left="0.78740157480314965" right="0.78740157480314965"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U54"/>
  <sheetViews>
    <sheetView topLeftCell="AC1" zoomScaleNormal="100" zoomScaleSheetLayoutView="41" workbookViewId="0">
      <selection activeCell="AT8" sqref="AT8:AT12"/>
    </sheetView>
  </sheetViews>
  <sheetFormatPr defaultRowHeight="12.75" x14ac:dyDescent="0.2"/>
  <sheetData>
    <row r="2" spans="1:47" x14ac:dyDescent="0.2">
      <c r="C2" s="209" t="s">
        <v>109</v>
      </c>
      <c r="D2" s="209"/>
      <c r="E2" s="209"/>
      <c r="F2" s="209"/>
      <c r="G2" s="209"/>
      <c r="H2" s="209"/>
      <c r="I2" s="209"/>
      <c r="J2" s="209"/>
    </row>
    <row r="3" spans="1:47" x14ac:dyDescent="0.2">
      <c r="C3" s="209"/>
      <c r="D3" s="209"/>
      <c r="E3" s="209"/>
      <c r="F3" s="209"/>
      <c r="G3" s="209"/>
      <c r="H3" s="209"/>
      <c r="I3" s="209"/>
      <c r="J3" s="209"/>
      <c r="R3" s="30"/>
      <c r="S3" s="30"/>
      <c r="T3" s="30"/>
      <c r="U3" s="30"/>
      <c r="V3" s="30"/>
    </row>
    <row r="4" spans="1:47" x14ac:dyDescent="0.2">
      <c r="C4" s="209"/>
      <c r="D4" s="209"/>
      <c r="E4" s="209"/>
      <c r="F4" s="209"/>
      <c r="G4" s="209"/>
      <c r="H4" s="209"/>
      <c r="I4" s="209"/>
      <c r="J4" s="209"/>
      <c r="R4" s="30"/>
      <c r="S4" s="30"/>
      <c r="T4" s="30"/>
      <c r="U4" s="30"/>
      <c r="V4" s="30"/>
      <c r="Y4" t="s">
        <v>54</v>
      </c>
      <c r="AC4" t="s">
        <v>193</v>
      </c>
    </row>
    <row r="5" spans="1:47" ht="13.5" thickBot="1" x14ac:dyDescent="0.25">
      <c r="C5" s="209"/>
      <c r="D5" s="209"/>
      <c r="E5" s="209"/>
      <c r="F5" s="209"/>
      <c r="G5" s="209"/>
      <c r="H5" s="209"/>
      <c r="I5" s="209"/>
      <c r="J5" s="209"/>
      <c r="R5" s="30"/>
      <c r="S5" s="30"/>
      <c r="T5" s="30"/>
      <c r="U5" s="30"/>
      <c r="V5" s="30"/>
      <c r="Y5" s="89" t="s">
        <v>140</v>
      </c>
      <c r="Z5" t="s">
        <v>141</v>
      </c>
      <c r="AA5" t="s">
        <v>177</v>
      </c>
      <c r="AC5" s="89" t="s">
        <v>140</v>
      </c>
      <c r="AD5" t="s">
        <v>141</v>
      </c>
      <c r="AE5" t="s">
        <v>177</v>
      </c>
    </row>
    <row r="6" spans="1:47" ht="16.5" thickBot="1" x14ac:dyDescent="0.25">
      <c r="M6" s="210" t="s">
        <v>89</v>
      </c>
      <c r="N6" s="210"/>
      <c r="O6" s="210"/>
      <c r="P6" s="210"/>
      <c r="Q6" s="210"/>
      <c r="R6" s="210"/>
      <c r="S6" s="30"/>
      <c r="T6" s="30"/>
      <c r="U6" s="30"/>
      <c r="V6" s="30"/>
      <c r="W6" s="210" t="s">
        <v>108</v>
      </c>
      <c r="X6" t="s">
        <v>191</v>
      </c>
      <c r="Y6" s="51">
        <v>0.309</v>
      </c>
      <c r="Z6" s="50">
        <v>0.28994082840236685</v>
      </c>
      <c r="AA6" s="34">
        <f>'TRIÉNIO 3'!F7</f>
        <v>0.36507936507936506</v>
      </c>
      <c r="AC6" s="34">
        <f>'TRIÉNIO 3'!B35</f>
        <v>0.26300000000000001</v>
      </c>
      <c r="AD6" s="34">
        <f>'TRIÉNIO 3'!D35</f>
        <v>0.18343195266272189</v>
      </c>
      <c r="AE6" s="34">
        <f>'TRIÉNIO 3'!F35</f>
        <v>0.25396825396825395</v>
      </c>
      <c r="AH6" s="109" t="s">
        <v>235</v>
      </c>
      <c r="AI6" s="109"/>
      <c r="AJ6" s="109"/>
      <c r="AM6" s="109" t="s">
        <v>236</v>
      </c>
      <c r="AN6" s="109"/>
      <c r="AO6" s="109"/>
      <c r="AR6" s="109" t="s">
        <v>237</v>
      </c>
      <c r="AS6" s="109"/>
      <c r="AT6" s="109"/>
    </row>
    <row r="7" spans="1:47" ht="16.5" thickBot="1" x14ac:dyDescent="0.25">
      <c r="L7" s="25"/>
      <c r="M7" s="25"/>
      <c r="N7" s="25"/>
      <c r="O7" s="25"/>
      <c r="P7" s="25"/>
      <c r="Q7" s="25"/>
      <c r="R7" s="25"/>
      <c r="S7" s="25"/>
      <c r="T7" s="25"/>
      <c r="U7" s="25"/>
      <c r="V7" s="10"/>
      <c r="W7" s="210"/>
      <c r="X7" t="s">
        <v>92</v>
      </c>
      <c r="Y7" s="50">
        <v>0.629</v>
      </c>
      <c r="Z7" s="50">
        <v>0.26380368098159507</v>
      </c>
      <c r="AA7" s="34">
        <f>'TRIÉNIO 3'!G7</f>
        <v>0.5130434782608696</v>
      </c>
      <c r="AC7" s="34">
        <f>'TRIÉNIO 3'!C35</f>
        <v>0.26600000000000001</v>
      </c>
      <c r="AD7" s="34">
        <f>'TRIÉNIO 3'!E35</f>
        <v>0.12121212121212122</v>
      </c>
      <c r="AE7" s="34">
        <f>'TRIÉNIO 3'!G35</f>
        <v>0.30769230769230771</v>
      </c>
      <c r="AH7" s="109" t="s">
        <v>140</v>
      </c>
      <c r="AI7" s="109" t="s">
        <v>141</v>
      </c>
      <c r="AJ7" s="109" t="s">
        <v>177</v>
      </c>
      <c r="AM7" s="109" t="s">
        <v>140</v>
      </c>
      <c r="AN7" s="109" t="s">
        <v>141</v>
      </c>
      <c r="AO7" s="109" t="s">
        <v>177</v>
      </c>
      <c r="AR7" s="109" t="s">
        <v>140</v>
      </c>
      <c r="AS7" s="109" t="s">
        <v>141</v>
      </c>
      <c r="AT7" s="109" t="s">
        <v>177</v>
      </c>
    </row>
    <row r="8" spans="1:47" x14ac:dyDescent="0.2">
      <c r="A8" s="93"/>
      <c r="B8" s="93"/>
      <c r="C8" s="93"/>
      <c r="D8" s="93"/>
      <c r="E8" s="93"/>
      <c r="F8" s="93"/>
      <c r="G8" s="93"/>
      <c r="H8" s="93"/>
      <c r="I8" s="93"/>
      <c r="J8" s="93"/>
      <c r="L8" s="25"/>
      <c r="M8" s="25"/>
      <c r="N8" s="25"/>
      <c r="O8" s="25"/>
      <c r="P8" s="25"/>
      <c r="Q8" s="25"/>
      <c r="R8" s="25"/>
      <c r="S8" s="25"/>
      <c r="T8" s="25"/>
      <c r="U8" s="25"/>
      <c r="V8" s="10"/>
      <c r="AG8" s="109" t="s">
        <v>5</v>
      </c>
      <c r="AH8" s="34">
        <f>'TRIÉNIO 4'!D9</f>
        <v>0.54200000000000004</v>
      </c>
      <c r="AI8" s="34">
        <f>'TRIÉNIO 4'!G9</f>
        <v>0.38235294117647056</v>
      </c>
      <c r="AJ8" s="34">
        <f>'TRIÉNIO 4'!J9</f>
        <v>0.55172413793103448</v>
      </c>
      <c r="AL8" s="109" t="s">
        <v>5</v>
      </c>
      <c r="AM8" s="34">
        <f>'TRIÉNIO 4'!E9</f>
        <v>0.36799999999999999</v>
      </c>
      <c r="AN8" s="34">
        <f>'TRIÉNIO 4'!H9</f>
        <v>0.44897959183673469</v>
      </c>
      <c r="AO8" s="34">
        <f>'TRIÉNIO 4'!K9</f>
        <v>0.5</v>
      </c>
      <c r="AQ8" s="109" t="s">
        <v>5</v>
      </c>
      <c r="AR8" s="34">
        <v>0</v>
      </c>
      <c r="AS8" s="34">
        <v>0</v>
      </c>
      <c r="AT8" s="34">
        <f>'TRIÉNIO 4'!L9</f>
        <v>0.52941176470588236</v>
      </c>
    </row>
    <row r="9" spans="1:47" x14ac:dyDescent="0.2">
      <c r="A9" s="97"/>
      <c r="B9" s="97"/>
      <c r="C9" s="97"/>
      <c r="D9" s="97"/>
      <c r="E9" s="97"/>
      <c r="F9" s="97"/>
      <c r="G9" s="97"/>
      <c r="H9" s="97"/>
      <c r="I9" s="97"/>
      <c r="J9" s="97"/>
      <c r="M9" t="s">
        <v>87</v>
      </c>
      <c r="N9" t="s">
        <v>19</v>
      </c>
      <c r="O9" t="s">
        <v>20</v>
      </c>
      <c r="P9" t="s">
        <v>29</v>
      </c>
      <c r="Q9" t="s">
        <v>30</v>
      </c>
      <c r="R9" t="s">
        <v>88</v>
      </c>
      <c r="S9" t="s">
        <v>37</v>
      </c>
      <c r="T9" t="s">
        <v>23</v>
      </c>
      <c r="U9" t="s">
        <v>24</v>
      </c>
      <c r="W9" s="210" t="s">
        <v>86</v>
      </c>
      <c r="X9" t="s">
        <v>192</v>
      </c>
      <c r="Y9" s="34">
        <f>'TRIÉNIO 3'!B8</f>
        <v>0.4</v>
      </c>
      <c r="Z9" s="34">
        <f>'TRIÉNIO 3'!D8</f>
        <v>0.23008849557522124</v>
      </c>
      <c r="AA9" s="34">
        <f>'TRIÉNIO 3'!F8</f>
        <v>0.17821782178217821</v>
      </c>
      <c r="AC9" s="34">
        <f>'TRIÉNIO 3'!B36</f>
        <v>0.17</v>
      </c>
      <c r="AD9" s="34">
        <f>'TRIÉNIO 3'!D36</f>
        <v>9.7345132743362831E-2</v>
      </c>
      <c r="AE9" s="34">
        <f>'TRIÉNIO 3'!F36</f>
        <v>4.9504950495049507E-2</v>
      </c>
      <c r="AG9" s="109" t="s">
        <v>6</v>
      </c>
      <c r="AH9" s="34">
        <f>'TRIÉNIO 4'!D10</f>
        <v>0.38100000000000001</v>
      </c>
      <c r="AI9" s="34">
        <f>'TRIÉNIO 4'!G10</f>
        <v>0.7857142857142857</v>
      </c>
      <c r="AJ9" s="34">
        <f>'TRIÉNIO 4'!J10</f>
        <v>0.45161290322580644</v>
      </c>
      <c r="AL9" s="109" t="s">
        <v>6</v>
      </c>
      <c r="AM9" s="34">
        <f>'TRIÉNIO 4'!E10</f>
        <v>0.5</v>
      </c>
      <c r="AN9" s="34">
        <f>'TRIÉNIO 4'!H10</f>
        <v>0.61764705882352944</v>
      </c>
      <c r="AO9" s="34">
        <f>'TRIÉNIO 4'!K10</f>
        <v>0.47619047619047616</v>
      </c>
      <c r="AQ9" s="109" t="s">
        <v>6</v>
      </c>
      <c r="AR9" s="34">
        <f>'TRIÉNIO 4'!F10</f>
        <v>0.77700000000000002</v>
      </c>
      <c r="AS9" s="34">
        <f>'TRIÉNIO 4'!I10</f>
        <v>0.65517241379310343</v>
      </c>
      <c r="AT9" s="34">
        <f>'TRIÉNIO 4'!L10</f>
        <v>0.375</v>
      </c>
    </row>
    <row r="10" spans="1:47" ht="15.75" x14ac:dyDescent="0.2">
      <c r="A10" s="97"/>
      <c r="B10" s="97"/>
      <c r="C10" s="97"/>
      <c r="D10" s="97"/>
      <c r="E10" s="97"/>
      <c r="F10" s="97"/>
      <c r="G10" s="97"/>
      <c r="H10" s="97"/>
      <c r="I10" s="97"/>
      <c r="J10" s="97"/>
      <c r="L10" t="s">
        <v>7</v>
      </c>
      <c r="M10" s="31">
        <f>'3 - APROV POR ANO E DISC.'!P22</f>
        <v>0.5</v>
      </c>
      <c r="N10" s="16">
        <f>'3 - APROV POR ANO E DISC.'!R22</f>
        <v>0.61728395061728392</v>
      </c>
      <c r="O10" s="16">
        <f>'3 - APROV POR ANO E DISC.'!T22</f>
        <v>0.7407407407407407</v>
      </c>
      <c r="P10" s="16">
        <f>'3 - APROV POR ANO E DISC.'!V22</f>
        <v>0.72839506172839508</v>
      </c>
      <c r="Q10" s="16">
        <f>'3 - APROV POR ANO E DISC.'!AD9</f>
        <v>0.87654320987654322</v>
      </c>
      <c r="R10" s="16">
        <f>'3 - APROV POR ANO E DISC.'!AF9</f>
        <v>0.88271604938271608</v>
      </c>
      <c r="S10" s="16">
        <f>'3 - APROV POR ANO E DISC.'!AH9</f>
        <v>0.9320987654320988</v>
      </c>
      <c r="T10" s="16">
        <f>'3 - APROV POR ANO E DISC.'!AJ9</f>
        <v>0.97530864197530864</v>
      </c>
      <c r="U10" s="16">
        <f>'3 - APROV POR ANO E DISC.'!AL9</f>
        <v>1</v>
      </c>
      <c r="W10" s="210"/>
      <c r="X10" t="s">
        <v>92</v>
      </c>
      <c r="Y10" s="34">
        <f>'TRIÉNIO 3'!C8</f>
        <v>0.84</v>
      </c>
      <c r="Z10" s="34">
        <f>'TRIÉNIO 3'!E8</f>
        <v>0.48148148148148145</v>
      </c>
      <c r="AA10" s="34">
        <f>'TRIÉNIO 3'!G8</f>
        <v>0.52475247524752477</v>
      </c>
      <c r="AC10" s="34">
        <f>'TRIÉNIO 3'!C36</f>
        <v>4.8000000000000001E-2</v>
      </c>
      <c r="AD10" s="34">
        <f>'TRIÉNIO 3'!E36</f>
        <v>9.2592592592592587E-2</v>
      </c>
      <c r="AE10" s="34">
        <f>'TRIÉNIO 3'!G36</f>
        <v>0.18811881188118812</v>
      </c>
      <c r="AG10" s="109" t="s">
        <v>7</v>
      </c>
      <c r="AH10" s="34">
        <f>'TRIÉNIO 4'!D11</f>
        <v>0.4</v>
      </c>
      <c r="AI10" s="34">
        <f>'TRIÉNIO 4'!G11</f>
        <v>0.17073170731707318</v>
      </c>
      <c r="AJ10" s="34">
        <f>'TRIÉNIO 4'!J11</f>
        <v>0.5714285714285714</v>
      </c>
      <c r="AL10" s="109" t="s">
        <v>7</v>
      </c>
      <c r="AM10" s="34">
        <f>'TRIÉNIO 4'!E11</f>
        <v>1</v>
      </c>
      <c r="AN10" s="34">
        <f>'TRIÉNIO 4'!H11</f>
        <v>0.52631578947368418</v>
      </c>
      <c r="AO10" s="34">
        <f>'TRIÉNIO 4'!K11</f>
        <v>0.46153846153846156</v>
      </c>
      <c r="AQ10" s="109" t="s">
        <v>7</v>
      </c>
      <c r="AR10" s="34">
        <f>'TRIÉNIO 4'!F11</f>
        <v>0.36399999999999999</v>
      </c>
      <c r="AS10" s="34">
        <f>'TRIÉNIO 4'!I11</f>
        <v>0.41666666666666669</v>
      </c>
      <c r="AT10" s="34">
        <f>'TRIÉNIO 4'!L11</f>
        <v>0.4</v>
      </c>
    </row>
    <row r="11" spans="1:47" ht="15.75" x14ac:dyDescent="0.2">
      <c r="A11" s="97"/>
      <c r="B11" s="97"/>
      <c r="C11" s="97"/>
      <c r="D11" s="97"/>
      <c r="E11" s="97"/>
      <c r="F11" s="97"/>
      <c r="G11" s="97"/>
      <c r="H11" s="97"/>
      <c r="I11" s="97"/>
      <c r="J11" s="97"/>
      <c r="L11" t="s">
        <v>8</v>
      </c>
      <c r="M11" s="31">
        <f>'3 - APROV POR ANO E DISC.'!P23</f>
        <v>0.9</v>
      </c>
      <c r="N11" s="16">
        <f>'3 - APROV POR ANO E DISC.'!R23</f>
        <v>0.71666666666666667</v>
      </c>
      <c r="O11" s="16">
        <f>'3 - APROV POR ANO E DISC.'!T23</f>
        <v>0.95833333333333337</v>
      </c>
      <c r="P11" s="16">
        <f>'3 - APROV POR ANO E DISC.'!V23</f>
        <v>0.91666666666666663</v>
      </c>
      <c r="Q11" s="16">
        <f>'3 - APROV POR ANO E DISC.'!AD10</f>
        <v>0.93333333333333335</v>
      </c>
      <c r="R11" s="16">
        <f>'3 - APROV POR ANO E DISC.'!AF10</f>
        <v>0.95</v>
      </c>
      <c r="S11" s="16">
        <f>'3 - APROV POR ANO E DISC.'!AH10</f>
        <v>0.95</v>
      </c>
      <c r="T11" s="16">
        <f>'3 - APROV POR ANO E DISC.'!AJ10</f>
        <v>0.98333333333333328</v>
      </c>
      <c r="U11" s="16">
        <f>'3 - APROV POR ANO E DISC.'!AL10</f>
        <v>1</v>
      </c>
      <c r="AG11" s="177" t="s">
        <v>8</v>
      </c>
      <c r="AH11" s="34">
        <f>'TRIÉNIO 4'!D12</f>
        <v>5.2999999999999999E-2</v>
      </c>
      <c r="AI11" s="34">
        <f>'TRIÉNIO 4'!G12</f>
        <v>0.66666666666666663</v>
      </c>
      <c r="AJ11" s="34">
        <f>'TRIÉNIO 4'!J12</f>
        <v>0.25</v>
      </c>
      <c r="AK11" s="93"/>
      <c r="AL11" s="177" t="s">
        <v>8</v>
      </c>
      <c r="AM11" s="34">
        <f>'TRIÉNIO 4'!E12</f>
        <v>0.375</v>
      </c>
      <c r="AN11" s="34">
        <f>'TRIÉNIO 4'!H12</f>
        <v>0</v>
      </c>
      <c r="AO11" s="34">
        <f>'TRIÉNIO 4'!K12</f>
        <v>0.5714285714285714</v>
      </c>
      <c r="AP11" s="93"/>
      <c r="AQ11" s="177" t="s">
        <v>8</v>
      </c>
      <c r="AR11" s="34">
        <f>'TRIÉNIO 4'!F12</f>
        <v>0</v>
      </c>
      <c r="AS11" s="34">
        <f>'TRIÉNIO 4'!I12</f>
        <v>0.65384615384615385</v>
      </c>
      <c r="AT11" s="34">
        <f>'TRIÉNIO 4'!L12</f>
        <v>0.375</v>
      </c>
      <c r="AU11" s="93"/>
    </row>
    <row r="12" spans="1:47" ht="15.75" x14ac:dyDescent="0.2">
      <c r="A12" s="97"/>
      <c r="B12" s="97"/>
      <c r="C12" s="98"/>
      <c r="D12" s="97"/>
      <c r="E12" s="98"/>
      <c r="F12" s="97"/>
      <c r="G12" s="98"/>
      <c r="H12" s="97"/>
      <c r="I12" s="98"/>
      <c r="J12" s="97"/>
      <c r="L12" t="s">
        <v>9</v>
      </c>
      <c r="M12" s="31">
        <f>'3 - APROV POR ANO E DISC.'!P24</f>
        <v>0.82203389830508478</v>
      </c>
      <c r="N12" s="16">
        <f>'3 - APROV POR ANO E DISC.'!R24</f>
        <v>0.73728813559322037</v>
      </c>
      <c r="O12" s="16">
        <f>'3 - APROV POR ANO E DISC.'!T24</f>
        <v>0.90677966101694918</v>
      </c>
      <c r="P12" s="16">
        <f>'3 - APROV POR ANO E DISC.'!V24</f>
        <v>0.75423728813559321</v>
      </c>
      <c r="Q12" s="16">
        <f>'3 - APROV POR ANO E DISC.'!AD11</f>
        <v>0.94545454545454544</v>
      </c>
      <c r="R12" s="16">
        <f>'3 - APROV POR ANO E DISC.'!AF11</f>
        <v>1</v>
      </c>
      <c r="S12" s="16">
        <f>'3 - APROV POR ANO E DISC.'!AH11</f>
        <v>1</v>
      </c>
      <c r="T12" s="16">
        <f>'3 - APROV POR ANO E DISC.'!AJ11</f>
        <v>0.9576271186440678</v>
      </c>
      <c r="U12" s="16">
        <f>'3 - APROV POR ANO E DISC.'!AL11</f>
        <v>1</v>
      </c>
      <c r="AG12" s="177" t="s">
        <v>9</v>
      </c>
      <c r="AH12" s="34">
        <f>'TRIÉNIO 4'!D13</f>
        <v>0.71399999999999997</v>
      </c>
      <c r="AI12" s="34">
        <f>'TRIÉNIO 4'!G13</f>
        <v>0.88888888888888884</v>
      </c>
      <c r="AJ12" s="34">
        <f>'TRIÉNIO 4'!J13</f>
        <v>0.84210526315789469</v>
      </c>
      <c r="AK12" s="93"/>
      <c r="AL12" s="177" t="s">
        <v>9</v>
      </c>
      <c r="AM12" s="34">
        <f>'TRIÉNIO 4'!E13</f>
        <v>0</v>
      </c>
      <c r="AN12" s="34">
        <f>'TRIÉNIO 4'!H13</f>
        <v>0.33333333333333331</v>
      </c>
      <c r="AO12" s="34">
        <f>'TRIÉNIO 4'!K13</f>
        <v>0.3</v>
      </c>
      <c r="AP12" s="93"/>
      <c r="AQ12" s="177" t="s">
        <v>9</v>
      </c>
      <c r="AR12" s="34">
        <v>0</v>
      </c>
      <c r="AS12" s="34">
        <f>'TRIÉNIO 4'!I13</f>
        <v>0.33333333333333331</v>
      </c>
      <c r="AT12" s="34">
        <f>'TRIÉNIO 4'!L13</f>
        <v>0.69230769230769229</v>
      </c>
      <c r="AU12" s="93"/>
    </row>
    <row r="13" spans="1:47" ht="15.75" x14ac:dyDescent="0.2">
      <c r="A13" s="97"/>
      <c r="B13" s="97"/>
      <c r="C13" s="98"/>
      <c r="D13" s="97"/>
      <c r="E13" s="98"/>
      <c r="F13" s="97"/>
      <c r="G13" s="98"/>
      <c r="H13" s="97"/>
      <c r="I13" s="98"/>
      <c r="J13" s="97"/>
      <c r="L13" t="s">
        <v>11</v>
      </c>
      <c r="M13" s="31">
        <f>'3 - APROV POR ANO E DISC.'!P25</f>
        <v>0.71499999999999997</v>
      </c>
      <c r="N13" s="16">
        <f>'3 - APROV POR ANO E DISC.'!R25</f>
        <v>0.6825</v>
      </c>
      <c r="O13" s="16">
        <f>'3 - APROV POR ANO E DISC.'!T25</f>
        <v>0.85499999999999998</v>
      </c>
      <c r="P13" s="16">
        <f>'3 - APROV POR ANO E DISC.'!V25</f>
        <v>0.79249999999999998</v>
      </c>
      <c r="Q13" s="16">
        <f>'3 - APROV POR ANO E DISC.'!AD12</f>
        <v>0.90801186943620182</v>
      </c>
      <c r="R13" s="16">
        <f>'3 - APROV POR ANO E DISC.'!AF12</f>
        <v>0.91909385113268605</v>
      </c>
      <c r="S13" s="16">
        <f>'3 - APROV POR ANO E DISC.'!AH12</f>
        <v>0.94985250737463123</v>
      </c>
      <c r="T13" s="16">
        <f>'3 - APROV POR ANO E DISC.'!AJ12</f>
        <v>0.97250000000000003</v>
      </c>
      <c r="U13" s="16">
        <f>'3 - APROV POR ANO E DISC.'!AL12</f>
        <v>1</v>
      </c>
      <c r="AG13" s="93"/>
      <c r="AH13" s="93"/>
      <c r="AI13" s="93"/>
      <c r="AJ13" s="93"/>
      <c r="AK13" s="93"/>
      <c r="AL13" s="93"/>
      <c r="AM13" s="93"/>
      <c r="AN13" s="93"/>
      <c r="AO13" s="93"/>
      <c r="AP13" s="93"/>
      <c r="AQ13" s="93"/>
      <c r="AR13" s="93"/>
      <c r="AS13" s="93"/>
      <c r="AT13" s="93"/>
      <c r="AU13" s="93"/>
    </row>
    <row r="14" spans="1:47" x14ac:dyDescent="0.2">
      <c r="A14" s="97"/>
      <c r="B14" s="97"/>
      <c r="C14" s="98"/>
      <c r="D14" s="97"/>
      <c r="E14" s="98"/>
      <c r="F14" s="97"/>
      <c r="G14" s="98"/>
      <c r="H14" s="97"/>
      <c r="I14" s="98"/>
      <c r="J14" s="97"/>
      <c r="AG14" s="93"/>
      <c r="AH14" s="93"/>
      <c r="AI14" s="93"/>
      <c r="AJ14" s="93"/>
      <c r="AK14" s="93"/>
      <c r="AL14" s="93"/>
      <c r="AM14" s="93"/>
      <c r="AN14" s="93"/>
      <c r="AO14" s="93"/>
      <c r="AP14" s="93"/>
      <c r="AQ14" s="93"/>
      <c r="AR14" s="93"/>
      <c r="AS14" s="93"/>
      <c r="AT14" s="93"/>
      <c r="AU14" s="93"/>
    </row>
    <row r="15" spans="1:47" x14ac:dyDescent="0.2">
      <c r="A15" s="97"/>
      <c r="B15" s="97"/>
      <c r="C15" s="98"/>
      <c r="D15" s="97"/>
      <c r="E15" s="98"/>
      <c r="F15" s="97"/>
      <c r="G15" s="98"/>
      <c r="H15" s="97"/>
      <c r="I15" s="98"/>
      <c r="J15" s="97"/>
      <c r="M15" t="s">
        <v>16</v>
      </c>
      <c r="N15" t="s">
        <v>17</v>
      </c>
      <c r="O15" t="s">
        <v>90</v>
      </c>
      <c r="P15" t="s">
        <v>29</v>
      </c>
      <c r="Q15" t="s">
        <v>33</v>
      </c>
      <c r="R15" t="s">
        <v>34</v>
      </c>
      <c r="S15" t="s">
        <v>23</v>
      </c>
      <c r="T15" t="s">
        <v>91</v>
      </c>
    </row>
    <row r="16" spans="1:47" x14ac:dyDescent="0.2">
      <c r="A16" s="97"/>
      <c r="B16" s="97"/>
      <c r="C16" s="98"/>
      <c r="D16" s="97"/>
      <c r="E16" s="98"/>
      <c r="F16" s="97"/>
      <c r="G16" s="98"/>
      <c r="H16" s="97"/>
      <c r="I16" s="98"/>
      <c r="J16" s="97"/>
      <c r="L16" s="93"/>
      <c r="M16" s="104">
        <f>'3 - APROV POR ANO E DISC.'!AP13</f>
        <v>0.8</v>
      </c>
      <c r="N16" s="104">
        <f>'3 - APROV POR ANO E DISC.'!AR13</f>
        <v>0.8</v>
      </c>
      <c r="O16" s="104">
        <f>'3 - APROV POR ANO E DISC.'!AT13</f>
        <v>0.26666666666666666</v>
      </c>
      <c r="P16" s="104">
        <f>'3 - APROV POR ANO E DISC.'!AV13</f>
        <v>0.66666666666666663</v>
      </c>
      <c r="Q16" s="104">
        <f>'3 - APROV POR ANO E DISC.'!AP28</f>
        <v>0.93333333333333335</v>
      </c>
      <c r="R16" s="104">
        <f>'3 - APROV POR ANO E DISC.'!AR28</f>
        <v>0.93333333333333335</v>
      </c>
      <c r="S16" s="104">
        <f>'3 - APROV POR ANO E DISC.'!AV28</f>
        <v>0.73333333333333328</v>
      </c>
      <c r="T16" s="104">
        <f>'3 - APROV POR ANO E DISC.'!AT28</f>
        <v>0.8666666666666667</v>
      </c>
      <c r="U16" s="93"/>
      <c r="V16" s="93"/>
      <c r="W16" s="93"/>
    </row>
    <row r="17" spans="1:21" x14ac:dyDescent="0.2">
      <c r="A17" s="10"/>
      <c r="B17" s="10"/>
      <c r="C17" s="39"/>
      <c r="D17" s="10"/>
      <c r="E17" s="39"/>
      <c r="F17" s="10"/>
      <c r="G17" s="39"/>
      <c r="H17" s="10"/>
      <c r="I17" s="39"/>
      <c r="J17" s="10"/>
      <c r="M17" s="16">
        <f>'3 - APROV POR ANO E DISC.'!AP14</f>
        <v>0.55555555555555558</v>
      </c>
      <c r="N17" s="16">
        <f>'3 - APROV POR ANO E DISC.'!AR14</f>
        <v>0.72727272727272729</v>
      </c>
      <c r="O17" s="16">
        <f>'3 - APROV POR ANO E DISC.'!AT14</f>
        <v>0.54545454545454541</v>
      </c>
      <c r="P17" s="16">
        <f>'3 - APROV POR ANO E DISC.'!AV14</f>
        <v>0.45454545454545453</v>
      </c>
      <c r="Q17" s="16">
        <f>'3 - APROV POR ANO E DISC.'!AP29</f>
        <v>0.81818181818181823</v>
      </c>
      <c r="R17" s="16">
        <f>'3 - APROV POR ANO E DISC.'!AR29</f>
        <v>0.81818181818181823</v>
      </c>
      <c r="S17" s="16">
        <f>'3 - APROV POR ANO E DISC.'!AV29</f>
        <v>0.81818181818181823</v>
      </c>
      <c r="T17" s="16">
        <f>'3 - APROV POR ANO E DISC.'!AT29</f>
        <v>0.81818181818181823</v>
      </c>
      <c r="U17" s="16"/>
    </row>
    <row r="18" spans="1:21" x14ac:dyDescent="0.2">
      <c r="M18" s="16">
        <f>'3 - APROV POR ANO E DISC.'!AP15</f>
        <v>0.81818181818181823</v>
      </c>
      <c r="N18" s="16">
        <f>'3 - APROV POR ANO E DISC.'!AR15</f>
        <v>0.54545454545454541</v>
      </c>
      <c r="O18" s="16">
        <f>'3 - APROV POR ANO E DISC.'!AT15</f>
        <v>0.81818181818181823</v>
      </c>
      <c r="P18" s="16">
        <f>'3 - APROV POR ANO E DISC.'!AV15</f>
        <v>0.54545454545454541</v>
      </c>
      <c r="Q18" s="16">
        <f>'3 - APROV POR ANO E DISC.'!AP30</f>
        <v>0.81818181818181823</v>
      </c>
      <c r="R18" s="16">
        <f>'3 - APROV POR ANO E DISC.'!AR30</f>
        <v>0.81818181818181823</v>
      </c>
      <c r="S18" s="16">
        <f>'3 - APROV POR ANO E DISC.'!AV30</f>
        <v>0.72727272727272729</v>
      </c>
      <c r="T18" s="16">
        <f>'3 - APROV POR ANO E DISC.'!AT30</f>
        <v>0.72727272727272729</v>
      </c>
      <c r="U18" s="16"/>
    </row>
    <row r="19" spans="1:21" x14ac:dyDescent="0.2">
      <c r="C19" t="s">
        <v>107</v>
      </c>
      <c r="D19" t="s">
        <v>108</v>
      </c>
      <c r="E19" t="s">
        <v>80</v>
      </c>
      <c r="F19" t="s">
        <v>81</v>
      </c>
      <c r="G19" t="s">
        <v>82</v>
      </c>
      <c r="H19" t="s">
        <v>11</v>
      </c>
      <c r="M19" s="16">
        <f>'3 - APROV POR ANO E DISC.'!AP16</f>
        <v>0.78787878787878785</v>
      </c>
      <c r="N19" s="16">
        <f>'3 - APROV POR ANO E DISC.'!AR16</f>
        <v>0.78787878787878785</v>
      </c>
      <c r="O19" s="16">
        <f>'3 - APROV POR ANO E DISC.'!AT16</f>
        <v>0.5757575757575758</v>
      </c>
      <c r="P19" s="16">
        <f>'3 - APROV POR ANO E DISC.'!AV16</f>
        <v>0.63636363636363635</v>
      </c>
      <c r="Q19" s="16">
        <f>'3 - APROV POR ANO E DISC.'!AP31</f>
        <v>0.96969696969696972</v>
      </c>
      <c r="R19" s="16">
        <f>'3 - APROV POR ANO E DISC.'!AR31</f>
        <v>0.96969696969696972</v>
      </c>
      <c r="S19" s="16">
        <f>'3 - APROV POR ANO E DISC.'!AV31</f>
        <v>0.84848484848484851</v>
      </c>
      <c r="T19" s="16">
        <f>'3 - APROV POR ANO E DISC.'!AT31</f>
        <v>0.90909090909090906</v>
      </c>
    </row>
    <row r="20" spans="1:21" x14ac:dyDescent="0.2">
      <c r="B20" t="s">
        <v>83</v>
      </c>
      <c r="C20" s="16">
        <f>'2.1.b'!E17</f>
        <v>7.5187969924812026E-2</v>
      </c>
      <c r="D20" s="16">
        <f>'2.1.b'!E18</f>
        <v>0.10317460317460317</v>
      </c>
      <c r="E20" s="16">
        <f>'2.1.b'!E19</f>
        <v>7.407407407407407E-2</v>
      </c>
      <c r="F20" s="16">
        <f>'2.1.b'!E20</f>
        <v>0.30833333333333335</v>
      </c>
      <c r="G20" s="16">
        <f>'2.1.b'!E21</f>
        <v>2.5423728813559324E-2</v>
      </c>
      <c r="H20" s="16">
        <f>'2.1.b'!E22</f>
        <v>0.11380880121396054</v>
      </c>
    </row>
    <row r="21" spans="1:21" x14ac:dyDescent="0.2">
      <c r="B21" t="s">
        <v>84</v>
      </c>
      <c r="C21" s="34">
        <f>'2.1.b'!G17</f>
        <v>0.15789473684210525</v>
      </c>
      <c r="D21" s="34">
        <f>'2.1.b'!G18</f>
        <v>0.22222222222222221</v>
      </c>
      <c r="E21" s="16">
        <f>'2.1.b'!G19</f>
        <v>9.2592592592592587E-2</v>
      </c>
      <c r="F21" s="16">
        <f>'2.1.b'!G20</f>
        <v>8.3333333333333329E-2</v>
      </c>
      <c r="G21" s="16">
        <f>'2.1.b'!G21</f>
        <v>0.1271186440677966</v>
      </c>
      <c r="H21" s="16">
        <f>'2.1.b'!G22</f>
        <v>0.13505311077389984</v>
      </c>
    </row>
    <row r="22" spans="1:21" x14ac:dyDescent="0.2">
      <c r="B22" t="s">
        <v>85</v>
      </c>
      <c r="C22" s="34">
        <f>'2.1.b'!I17</f>
        <v>1.5037593984962405E-2</v>
      </c>
      <c r="D22" s="34">
        <f>'2.1.b'!I18</f>
        <v>7.1428571428571425E-2</v>
      </c>
      <c r="E22" s="16">
        <f>'2.1.b'!I19</f>
        <v>3.0864197530864196E-2</v>
      </c>
      <c r="F22" s="16">
        <f>'2.1.b'!I20</f>
        <v>9.166666666666666E-2</v>
      </c>
      <c r="G22" s="16">
        <f>'2.1.b'!I21</f>
        <v>0</v>
      </c>
      <c r="H22" s="16">
        <f>'2.1.b'!I22</f>
        <v>4.09711684370258E-2</v>
      </c>
    </row>
    <row r="29" spans="1:21" x14ac:dyDescent="0.2">
      <c r="A29" s="10"/>
    </row>
    <row r="34" spans="1:8" x14ac:dyDescent="0.2">
      <c r="D34" t="s">
        <v>86</v>
      </c>
    </row>
    <row r="36" spans="1:8" ht="15.75" x14ac:dyDescent="0.2">
      <c r="A36" s="66"/>
      <c r="C36" t="s">
        <v>16</v>
      </c>
      <c r="F36" t="s">
        <v>19</v>
      </c>
      <c r="H36" s="66"/>
    </row>
    <row r="37" spans="1:8" ht="15.75" x14ac:dyDescent="0.2">
      <c r="A37" s="66"/>
      <c r="H37" s="66"/>
    </row>
    <row r="38" spans="1:8" ht="15.75" x14ac:dyDescent="0.2">
      <c r="A38" s="66"/>
      <c r="B38" t="s">
        <v>93</v>
      </c>
      <c r="C38" t="s">
        <v>94</v>
      </c>
      <c r="E38" t="s">
        <v>93</v>
      </c>
      <c r="F38" t="s">
        <v>94</v>
      </c>
      <c r="H38" s="66"/>
    </row>
    <row r="39" spans="1:8" x14ac:dyDescent="0.2">
      <c r="B39" s="34">
        <f>'14 - CLAS. PROVAS E EXAMES'!R22</f>
        <v>4.9504950495049507E-2</v>
      </c>
      <c r="C39" s="34">
        <f>'14 - CLAS. PROVAS E EXAMES'!T22</f>
        <v>0.95049504950495045</v>
      </c>
      <c r="E39" s="34">
        <f>'14 - CLAS. PROVAS E EXAMES'!R47</f>
        <v>0.17821782178217821</v>
      </c>
      <c r="F39" s="34">
        <f>'14 - CLAS. PROVAS E EXAMES'!T47</f>
        <v>0.82178217821782173</v>
      </c>
    </row>
    <row r="40" spans="1:8" x14ac:dyDescent="0.2">
      <c r="B40" s="34">
        <f>'14 - CLAS. PROVAS E EXAMES'!W22</f>
        <v>0.18811881188118812</v>
      </c>
      <c r="C40" s="34">
        <f>'14 - CLAS. PROVAS E EXAMES'!Y22</f>
        <v>0.81188118811881194</v>
      </c>
      <c r="E40" s="34">
        <f>'14 - CLAS. PROVAS E EXAMES'!W47</f>
        <v>0.52475247524752477</v>
      </c>
      <c r="F40" s="34">
        <f>'14 - CLAS. PROVAS E EXAMES'!Y47</f>
        <v>0.47524752475247523</v>
      </c>
    </row>
    <row r="43" spans="1:8" x14ac:dyDescent="0.2">
      <c r="D43" t="s">
        <v>108</v>
      </c>
    </row>
    <row r="45" spans="1:8" x14ac:dyDescent="0.2">
      <c r="C45" t="s">
        <v>16</v>
      </c>
      <c r="F45" t="s">
        <v>19</v>
      </c>
    </row>
    <row r="47" spans="1:8" x14ac:dyDescent="0.2">
      <c r="B47" t="s">
        <v>93</v>
      </c>
      <c r="C47" t="s">
        <v>94</v>
      </c>
      <c r="E47" t="s">
        <v>93</v>
      </c>
      <c r="F47" t="s">
        <v>94</v>
      </c>
    </row>
    <row r="48" spans="1:8" x14ac:dyDescent="0.2">
      <c r="B48" s="34">
        <f>'14 - CLAS. PROVAS E EXAMES'!E22</f>
        <v>0.25396825396825395</v>
      </c>
      <c r="C48" s="34">
        <f>'14 - CLAS. PROVAS E EXAMES'!G22</f>
        <v>0.74603174603174605</v>
      </c>
      <c r="E48" s="34">
        <f>'14 - CLAS. PROVAS E EXAMES'!E47</f>
        <v>0.36507936507936506</v>
      </c>
      <c r="F48" s="34">
        <f>'14 - CLAS. PROVAS E EXAMES'!G47</f>
        <v>0.63492063492063489</v>
      </c>
    </row>
    <row r="49" spans="2:7" x14ac:dyDescent="0.2">
      <c r="B49" s="34">
        <f>'14 - CLAS. PROVAS E EXAMES'!J22</f>
        <v>0.30769230769230771</v>
      </c>
      <c r="C49" s="34">
        <f>'14 - CLAS. PROVAS E EXAMES'!L22</f>
        <v>0.69230769230769229</v>
      </c>
      <c r="E49" s="34">
        <f>'14 - CLAS. PROVAS E EXAMES'!J47</f>
        <v>0.5130434782608696</v>
      </c>
      <c r="F49" s="34">
        <f>'14 - CLAS. PROVAS E EXAMES'!L47</f>
        <v>0.48695652173913045</v>
      </c>
    </row>
    <row r="54" spans="2:7" x14ac:dyDescent="0.2">
      <c r="B54" s="93"/>
      <c r="C54" s="93"/>
      <c r="D54" s="93"/>
      <c r="E54" s="93"/>
      <c r="F54" s="93"/>
      <c r="G54" s="93"/>
    </row>
  </sheetData>
  <mergeCells count="4">
    <mergeCell ref="C2:J5"/>
    <mergeCell ref="M6:R6"/>
    <mergeCell ref="W9:W10"/>
    <mergeCell ref="W6:W7"/>
  </mergeCells>
  <pageMargins left="0.78740157499999996" right="0.78740157499999996"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colBreaks count="1" manualBreakCount="1">
    <brk id="10" max="104857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enableFormatConditionsCalculation="0">
    <tabColor indexed="11"/>
  </sheetPr>
  <dimension ref="A1:BK160"/>
  <sheetViews>
    <sheetView view="pageLayout" zoomScaleNormal="100" zoomScaleSheetLayoutView="70" workbookViewId="0">
      <selection activeCell="AY33" sqref="AY33"/>
    </sheetView>
  </sheetViews>
  <sheetFormatPr defaultRowHeight="12.75" x14ac:dyDescent="0.2"/>
  <cols>
    <col min="1" max="1" width="6.42578125" customWidth="1"/>
    <col min="2" max="2" width="7" customWidth="1"/>
    <col min="3" max="3" width="9.140625" customWidth="1"/>
    <col min="4" max="4" width="12.42578125" bestFit="1" customWidth="1"/>
    <col min="5" max="5" width="7.7109375" customWidth="1"/>
    <col min="6" max="6" width="12.42578125" bestFit="1" customWidth="1"/>
    <col min="7" max="7" width="8.5703125" customWidth="1"/>
    <col min="8" max="8" width="12.42578125" bestFit="1" customWidth="1"/>
    <col min="9" max="9" width="8.140625" customWidth="1"/>
    <col min="10" max="10" width="12.7109375" bestFit="1" customWidth="1"/>
    <col min="11" max="11" width="7.85546875" customWidth="1"/>
    <col min="12" max="12" width="12.7109375" bestFit="1" customWidth="1"/>
    <col min="13" max="13" width="8.7109375" customWidth="1"/>
    <col min="14" max="14" width="8.85546875" customWidth="1"/>
    <col min="15" max="24" width="9.42578125" customWidth="1"/>
    <col min="25" max="25" width="9.140625" customWidth="1"/>
    <col min="26" max="26" width="11.28515625" customWidth="1"/>
    <col min="27" max="27" width="9.42578125" customWidth="1"/>
    <col min="28" max="28" width="9.5703125" customWidth="1"/>
    <col min="29" max="30" width="9.7109375" customWidth="1"/>
    <col min="31" max="34" width="9.5703125" customWidth="1"/>
    <col min="35" max="35" width="9.7109375" customWidth="1"/>
    <col min="36" max="37" width="7.85546875" customWidth="1"/>
    <col min="38" max="38" width="9.28515625" customWidth="1"/>
  </cols>
  <sheetData>
    <row r="1" spans="1:63" ht="15.75" x14ac:dyDescent="0.25">
      <c r="A1" s="218" t="s">
        <v>15</v>
      </c>
      <c r="B1" s="218"/>
      <c r="C1" s="218"/>
      <c r="D1" s="218"/>
      <c r="E1" s="218"/>
      <c r="F1" s="218"/>
      <c r="G1" s="218"/>
      <c r="H1" s="218"/>
      <c r="I1" s="218"/>
      <c r="J1" s="218"/>
      <c r="K1" s="218"/>
      <c r="L1" s="218"/>
      <c r="M1" s="218" t="s">
        <v>15</v>
      </c>
      <c r="N1" s="218"/>
      <c r="O1" s="218"/>
      <c r="P1" s="218"/>
      <c r="Q1" s="218"/>
      <c r="R1" s="218"/>
      <c r="S1" s="218"/>
      <c r="T1" s="218"/>
      <c r="U1" s="218"/>
      <c r="V1" s="218"/>
      <c r="W1" s="218"/>
      <c r="X1" s="218"/>
      <c r="Z1" s="218" t="s">
        <v>15</v>
      </c>
      <c r="AA1" s="218"/>
      <c r="AB1" s="218"/>
      <c r="AC1" s="218"/>
      <c r="AD1" s="218"/>
      <c r="AE1" s="218"/>
      <c r="AF1" s="218"/>
      <c r="AG1" s="218"/>
      <c r="AH1" s="218"/>
      <c r="AI1" s="218"/>
      <c r="AJ1" s="218"/>
      <c r="AK1" s="218"/>
      <c r="AL1" s="81"/>
      <c r="AM1" s="218" t="s">
        <v>15</v>
      </c>
      <c r="AN1" s="218"/>
      <c r="AO1" s="218"/>
      <c r="AP1" s="218"/>
      <c r="AQ1" s="218"/>
      <c r="AR1" s="218"/>
      <c r="AS1" s="218"/>
      <c r="AT1" s="218"/>
      <c r="AU1" s="218"/>
      <c r="AV1" s="218"/>
      <c r="AW1" s="218"/>
      <c r="AX1" s="218"/>
      <c r="AY1" s="30"/>
      <c r="AZ1" s="30"/>
      <c r="BA1" s="30"/>
      <c r="BB1" s="30"/>
      <c r="BC1" s="10"/>
      <c r="BD1" s="10"/>
      <c r="BE1" s="10"/>
      <c r="BF1" s="10"/>
      <c r="BG1" s="10"/>
      <c r="BH1" s="10"/>
      <c r="BI1" s="10"/>
      <c r="BJ1" s="10"/>
      <c r="BK1" s="10"/>
    </row>
    <row r="2" spans="1:63" ht="15.75" x14ac:dyDescent="0.25">
      <c r="A2" s="215" t="s">
        <v>197</v>
      </c>
      <c r="B2" s="215"/>
      <c r="C2" s="215"/>
      <c r="D2" s="215"/>
      <c r="E2" s="215"/>
      <c r="F2" s="215"/>
      <c r="G2" s="215"/>
      <c r="H2" s="215"/>
      <c r="I2" s="215"/>
      <c r="J2" s="91"/>
      <c r="K2" s="91"/>
      <c r="L2" s="91"/>
      <c r="M2" s="215" t="s">
        <v>199</v>
      </c>
      <c r="N2" s="215"/>
      <c r="O2" s="215"/>
      <c r="P2" s="215"/>
      <c r="Q2" s="215"/>
      <c r="R2" s="215"/>
      <c r="S2" s="215"/>
      <c r="T2" s="215"/>
      <c r="U2" s="215"/>
      <c r="V2" s="101"/>
      <c r="W2" s="101"/>
      <c r="X2" s="101"/>
      <c r="Z2" s="215" t="s">
        <v>200</v>
      </c>
      <c r="AA2" s="215"/>
      <c r="AB2" s="215"/>
      <c r="AC2" s="215"/>
      <c r="AD2" s="215"/>
      <c r="AE2" s="215"/>
      <c r="AF2" s="215"/>
      <c r="AG2" s="215"/>
      <c r="AH2" s="215"/>
      <c r="AI2" s="101"/>
      <c r="AJ2" s="101"/>
      <c r="AK2" s="101"/>
      <c r="AL2" s="82"/>
      <c r="AM2" s="215" t="s">
        <v>201</v>
      </c>
      <c r="AN2" s="215"/>
      <c r="AO2" s="215"/>
      <c r="AP2" s="215"/>
      <c r="AQ2" s="215"/>
      <c r="AR2" s="215"/>
      <c r="AS2" s="215"/>
      <c r="AT2" s="215"/>
      <c r="AU2" s="215"/>
      <c r="AV2" s="101"/>
      <c r="AW2" s="101"/>
      <c r="AX2" s="101"/>
      <c r="AY2" s="30"/>
      <c r="AZ2" s="30"/>
      <c r="BA2" s="30"/>
      <c r="BB2" s="30"/>
      <c r="BC2" s="10"/>
      <c r="BD2" s="10"/>
      <c r="BE2" s="10"/>
      <c r="BF2" s="10"/>
      <c r="BG2" s="10"/>
      <c r="BH2" s="10"/>
      <c r="BI2" s="10"/>
      <c r="BJ2" s="10"/>
      <c r="BK2" s="10"/>
    </row>
    <row r="3" spans="1:63" ht="23.25" x14ac:dyDescent="0.25">
      <c r="A3" s="91"/>
      <c r="B3" s="91"/>
      <c r="C3" s="91"/>
      <c r="D3" s="91"/>
      <c r="E3" s="91"/>
      <c r="F3" s="91"/>
      <c r="G3" s="91"/>
      <c r="H3" s="91"/>
      <c r="I3" s="91"/>
      <c r="J3" s="91"/>
      <c r="K3" s="91"/>
      <c r="L3" s="91"/>
      <c r="AM3" s="83"/>
      <c r="AN3" s="83"/>
      <c r="AO3" s="83"/>
      <c r="AP3" s="83"/>
      <c r="AY3" s="30"/>
      <c r="AZ3" s="30"/>
      <c r="BA3" s="30"/>
      <c r="BB3" s="30"/>
      <c r="BC3" s="10"/>
      <c r="BD3" s="10"/>
      <c r="BE3" s="10"/>
      <c r="BF3" s="10"/>
      <c r="BG3" s="10"/>
      <c r="BH3" s="10"/>
      <c r="BI3" s="10"/>
      <c r="BJ3" s="10"/>
      <c r="BK3" s="10"/>
    </row>
    <row r="4" spans="1:63" ht="23.25" x14ac:dyDescent="0.25">
      <c r="A4" s="8"/>
      <c r="B4" s="8"/>
      <c r="Z4" s="3" t="s">
        <v>239</v>
      </c>
      <c r="AB4" s="92"/>
      <c r="AC4" s="92"/>
      <c r="AD4" s="92"/>
      <c r="AE4" s="92"/>
      <c r="AF4" s="92"/>
      <c r="AG4" s="92"/>
      <c r="AH4" s="92"/>
      <c r="AI4" s="92"/>
      <c r="AJ4" s="92"/>
      <c r="AK4" s="92"/>
      <c r="AL4" s="92"/>
      <c r="AM4" s="83"/>
      <c r="AN4" s="83"/>
      <c r="AO4" s="83"/>
      <c r="AP4" s="83"/>
      <c r="AY4" s="30"/>
      <c r="AZ4" s="30"/>
      <c r="BA4" s="30"/>
      <c r="BB4" s="30"/>
      <c r="BC4" s="10"/>
      <c r="BD4" s="10"/>
      <c r="BE4" s="10"/>
      <c r="BF4" s="10"/>
      <c r="BG4" s="10"/>
      <c r="BH4" s="10"/>
      <c r="BI4" s="10"/>
      <c r="BJ4" s="10"/>
      <c r="BK4" s="10"/>
    </row>
    <row r="5" spans="1:63" ht="15.75" customHeight="1" thickBot="1" x14ac:dyDescent="0.25">
      <c r="Z5" s="92"/>
      <c r="AA5" s="92"/>
      <c r="AB5" s="92"/>
      <c r="AC5" s="92"/>
      <c r="AD5" s="92"/>
      <c r="AE5" s="92"/>
      <c r="AF5" s="92"/>
      <c r="AG5" s="92"/>
      <c r="AH5" s="92"/>
      <c r="AI5" s="92"/>
      <c r="AJ5" s="92"/>
      <c r="AK5" s="92"/>
      <c r="AL5" s="92"/>
    </row>
    <row r="6" spans="1:63" ht="28.35" customHeight="1" thickBot="1" x14ac:dyDescent="0.25">
      <c r="AA6" s="93"/>
      <c r="AB6" s="93"/>
      <c r="AC6" s="213" t="s">
        <v>30</v>
      </c>
      <c r="AD6" s="214"/>
      <c r="AE6" s="213" t="s">
        <v>68</v>
      </c>
      <c r="AF6" s="214"/>
      <c r="AG6" s="213" t="s">
        <v>37</v>
      </c>
      <c r="AH6" s="214"/>
      <c r="AI6" s="213" t="s">
        <v>23</v>
      </c>
      <c r="AJ6" s="214"/>
      <c r="AK6" s="213" t="s">
        <v>24</v>
      </c>
      <c r="AL6" s="214"/>
    </row>
    <row r="7" spans="1:63" ht="28.35" customHeight="1" thickBot="1" x14ac:dyDescent="0.3">
      <c r="A7" s="129" t="s">
        <v>198</v>
      </c>
      <c r="AA7" s="211" t="s">
        <v>2</v>
      </c>
      <c r="AB7" s="211" t="s">
        <v>128</v>
      </c>
      <c r="AC7" s="211" t="s">
        <v>25</v>
      </c>
      <c r="AD7" s="211" t="s">
        <v>26</v>
      </c>
      <c r="AE7" s="211" t="s">
        <v>25</v>
      </c>
      <c r="AF7" s="211" t="s">
        <v>26</v>
      </c>
      <c r="AG7" s="211" t="s">
        <v>25</v>
      </c>
      <c r="AH7" s="211" t="s">
        <v>26</v>
      </c>
      <c r="AI7" s="211" t="s">
        <v>25</v>
      </c>
      <c r="AJ7" s="211" t="s">
        <v>26</v>
      </c>
      <c r="AK7" s="211" t="s">
        <v>25</v>
      </c>
      <c r="AL7" s="211" t="s">
        <v>26</v>
      </c>
    </row>
    <row r="8" spans="1:63" ht="28.35" customHeight="1" thickBot="1" x14ac:dyDescent="0.3">
      <c r="A8" s="103"/>
      <c r="B8" s="103"/>
      <c r="C8" s="213" t="s">
        <v>16</v>
      </c>
      <c r="D8" s="214"/>
      <c r="E8" s="213" t="s">
        <v>17</v>
      </c>
      <c r="F8" s="214"/>
      <c r="G8" s="213" t="s">
        <v>18</v>
      </c>
      <c r="H8" s="214"/>
      <c r="I8" s="213" t="s">
        <v>19</v>
      </c>
      <c r="J8" s="214"/>
      <c r="K8" s="213" t="s">
        <v>20</v>
      </c>
      <c r="L8" s="214"/>
      <c r="AA8" s="212"/>
      <c r="AB8" s="212"/>
      <c r="AC8" s="212"/>
      <c r="AD8" s="212"/>
      <c r="AE8" s="212"/>
      <c r="AF8" s="212"/>
      <c r="AG8" s="212"/>
      <c r="AH8" s="212"/>
      <c r="AI8" s="212"/>
      <c r="AJ8" s="212"/>
      <c r="AK8" s="212"/>
      <c r="AL8" s="212"/>
      <c r="AM8" s="3" t="s">
        <v>240</v>
      </c>
    </row>
    <row r="9" spans="1:63" ht="28.35" customHeight="1" thickBot="1" x14ac:dyDescent="0.25">
      <c r="A9" s="211" t="s">
        <v>2</v>
      </c>
      <c r="B9" s="211" t="s">
        <v>128</v>
      </c>
      <c r="C9" s="211" t="s">
        <v>25</v>
      </c>
      <c r="D9" s="211" t="s">
        <v>26</v>
      </c>
      <c r="E9" s="211" t="s">
        <v>25</v>
      </c>
      <c r="F9" s="211" t="s">
        <v>26</v>
      </c>
      <c r="G9" s="211" t="s">
        <v>25</v>
      </c>
      <c r="H9" s="211" t="s">
        <v>26</v>
      </c>
      <c r="I9" s="211" t="s">
        <v>25</v>
      </c>
      <c r="J9" s="211" t="s">
        <v>26</v>
      </c>
      <c r="K9" s="211" t="s">
        <v>25</v>
      </c>
      <c r="L9" s="211" t="s">
        <v>26</v>
      </c>
      <c r="AA9" s="29" t="s">
        <v>7</v>
      </c>
      <c r="AB9" s="99">
        <f>'2'!C22</f>
        <v>162</v>
      </c>
      <c r="AC9" s="99">
        <f>18+19+12+13+23+23+17+17</f>
        <v>142</v>
      </c>
      <c r="AD9" s="23">
        <f>AC9/'2'!C22</f>
        <v>0.87654320987654322</v>
      </c>
      <c r="AE9" s="99">
        <f>16+17+20+18+19+19+16+18</f>
        <v>143</v>
      </c>
      <c r="AF9" s="23">
        <f>AE9/'2'!C22</f>
        <v>0.88271604938271608</v>
      </c>
      <c r="AG9" s="99">
        <f>16+17+19+18+25+24+15+17</f>
        <v>151</v>
      </c>
      <c r="AH9" s="23">
        <f>AG9/'2'!C22</f>
        <v>0.9320987654320988</v>
      </c>
      <c r="AI9" s="99">
        <f>17+19+20+18+25+24+17+18</f>
        <v>158</v>
      </c>
      <c r="AJ9" s="23">
        <f>AI9/'2'!C22</f>
        <v>0.97530864197530864</v>
      </c>
      <c r="AK9" s="99">
        <f>5+10+11+5+8+12+9+1</f>
        <v>61</v>
      </c>
      <c r="AL9" s="23">
        <f>AK9/(5+10+11+5+8+12+9+1)</f>
        <v>1</v>
      </c>
    </row>
    <row r="10" spans="1:63" ht="28.35" customHeight="1" thickBot="1" x14ac:dyDescent="0.3">
      <c r="A10" s="212"/>
      <c r="B10" s="212"/>
      <c r="C10" s="212"/>
      <c r="D10" s="212"/>
      <c r="E10" s="212"/>
      <c r="F10" s="212"/>
      <c r="G10" s="212"/>
      <c r="H10" s="212"/>
      <c r="I10" s="212"/>
      <c r="J10" s="212"/>
      <c r="K10" s="212"/>
      <c r="L10" s="212"/>
      <c r="M10" s="3" t="s">
        <v>238</v>
      </c>
      <c r="AA10" s="29" t="s">
        <v>8</v>
      </c>
      <c r="AB10" s="99">
        <f>'2'!C23</f>
        <v>120</v>
      </c>
      <c r="AC10" s="99">
        <f>20+15+24+20+17+16</f>
        <v>112</v>
      </c>
      <c r="AD10" s="23">
        <f>AC10/'2'!C23</f>
        <v>0.93333333333333335</v>
      </c>
      <c r="AE10" s="99">
        <f>17+15+21+17+24+20</f>
        <v>114</v>
      </c>
      <c r="AF10" s="23">
        <f>AE10/'2'!C23</f>
        <v>0.95</v>
      </c>
      <c r="AG10" s="99">
        <f>18+17+20+17+22+20</f>
        <v>114</v>
      </c>
      <c r="AH10" s="23">
        <f>AG10/'2'!C23</f>
        <v>0.95</v>
      </c>
      <c r="AI10" s="99">
        <f>18+18+21+17+24+20</f>
        <v>118</v>
      </c>
      <c r="AJ10" s="23">
        <f>AI10/'2'!C23</f>
        <v>0.98333333333333328</v>
      </c>
      <c r="AK10" s="99">
        <f>1+4+1+4+2</f>
        <v>12</v>
      </c>
      <c r="AL10" s="23">
        <f>AK10/12</f>
        <v>1</v>
      </c>
      <c r="AN10" s="24"/>
      <c r="AO10" s="213" t="s">
        <v>16</v>
      </c>
      <c r="AP10" s="214"/>
      <c r="AQ10" s="213" t="s">
        <v>17</v>
      </c>
      <c r="AR10" s="214"/>
      <c r="AS10" s="213" t="s">
        <v>32</v>
      </c>
      <c r="AT10" s="214"/>
      <c r="AU10" s="213" t="s">
        <v>29</v>
      </c>
      <c r="AV10" s="214"/>
    </row>
    <row r="11" spans="1:63" ht="28.35" customHeight="1" thickBot="1" x14ac:dyDescent="0.25">
      <c r="A11" s="29" t="s">
        <v>5</v>
      </c>
      <c r="B11" s="22">
        <f>'2'!C20</f>
        <v>133</v>
      </c>
      <c r="C11" s="22">
        <f>19+17+15+15+13+17</f>
        <v>96</v>
      </c>
      <c r="D11" s="23">
        <f>C11/'2'!C20</f>
        <v>0.72180451127819545</v>
      </c>
      <c r="E11" s="22">
        <f>17+18+16+16+14+14</f>
        <v>95</v>
      </c>
      <c r="F11" s="23">
        <f>E11/'2'!C20</f>
        <v>0.7142857142857143</v>
      </c>
      <c r="G11" s="22">
        <f>17+18+18+18+16+18</f>
        <v>105</v>
      </c>
      <c r="H11" s="23">
        <f>G11/'2'!C20</f>
        <v>0.78947368421052633</v>
      </c>
      <c r="I11" s="22">
        <f>8+17+13+16+15+16</f>
        <v>85</v>
      </c>
      <c r="J11" s="23">
        <f>I11/'2'!C20</f>
        <v>0.63909774436090228</v>
      </c>
      <c r="K11" s="22">
        <f>16+18+15+18+17+18</f>
        <v>102</v>
      </c>
      <c r="L11" s="23">
        <f>K11/'2'!C20</f>
        <v>0.76691729323308266</v>
      </c>
      <c r="M11" s="93"/>
      <c r="N11" s="107"/>
      <c r="O11" s="213" t="s">
        <v>16</v>
      </c>
      <c r="P11" s="214"/>
      <c r="Q11" s="213" t="s">
        <v>17</v>
      </c>
      <c r="R11" s="214"/>
      <c r="S11" s="213" t="s">
        <v>27</v>
      </c>
      <c r="T11" s="214"/>
      <c r="U11" s="213" t="s">
        <v>38</v>
      </c>
      <c r="V11" s="214"/>
      <c r="W11" s="213" t="s">
        <v>18</v>
      </c>
      <c r="X11" s="214"/>
      <c r="AA11" s="29" t="s">
        <v>9</v>
      </c>
      <c r="AB11" s="99">
        <f>'2'!C24</f>
        <v>118</v>
      </c>
      <c r="AC11" s="105">
        <f>17+9+20+6</f>
        <v>52</v>
      </c>
      <c r="AD11" s="106">
        <f>AC11/(AB11-27-16-12-8)</f>
        <v>0.94545454545454544</v>
      </c>
      <c r="AE11" s="99">
        <v>27</v>
      </c>
      <c r="AF11" s="23">
        <f>AE11/27</f>
        <v>1</v>
      </c>
      <c r="AG11" s="105">
        <f>16+12+20+8+1</f>
        <v>57</v>
      </c>
      <c r="AH11" s="106">
        <f>AG11/(AB11-27-17-9-8)</f>
        <v>1</v>
      </c>
      <c r="AI11" s="99">
        <f>16+27+20+17+19+5+2+6+1</f>
        <v>113</v>
      </c>
      <c r="AJ11" s="23">
        <f>AI11/'2'!C24</f>
        <v>0.9576271186440678</v>
      </c>
      <c r="AK11" s="99">
        <f>2+5+1+4+1+1+2</f>
        <v>16</v>
      </c>
      <c r="AL11" s="23">
        <f>AK11/(16)</f>
        <v>1</v>
      </c>
      <c r="AM11" s="211" t="s">
        <v>2</v>
      </c>
      <c r="AN11" s="211" t="s">
        <v>128</v>
      </c>
      <c r="AO11" s="211" t="s">
        <v>25</v>
      </c>
      <c r="AP11" s="211" t="s">
        <v>26</v>
      </c>
      <c r="AQ11" s="211" t="s">
        <v>25</v>
      </c>
      <c r="AR11" s="211" t="s">
        <v>26</v>
      </c>
      <c r="AS11" s="211" t="s">
        <v>25</v>
      </c>
      <c r="AT11" s="211" t="s">
        <v>26</v>
      </c>
      <c r="AU11" s="211" t="s">
        <v>25</v>
      </c>
      <c r="AV11" s="211" t="s">
        <v>26</v>
      </c>
    </row>
    <row r="12" spans="1:63" ht="28.35" customHeight="1" thickBot="1" x14ac:dyDescent="0.25">
      <c r="A12" s="29" t="s">
        <v>6</v>
      </c>
      <c r="B12" s="22">
        <v>126</v>
      </c>
      <c r="C12" s="22">
        <f>19+11+15+14+20+15</f>
        <v>94</v>
      </c>
      <c r="D12" s="23">
        <f>C12/'2'!C21</f>
        <v>0.74603174603174605</v>
      </c>
      <c r="E12" s="22">
        <f>17+10+15+16+18+10</f>
        <v>86</v>
      </c>
      <c r="F12" s="23">
        <f>E12/'2'!C21</f>
        <v>0.68253968253968256</v>
      </c>
      <c r="G12" s="22">
        <f>20+14+16+17+18+14</f>
        <v>99</v>
      </c>
      <c r="H12" s="23">
        <f>G12/'2'!C21</f>
        <v>0.7857142857142857</v>
      </c>
      <c r="I12" s="22">
        <f>19+9+13+12+12+15</f>
        <v>80</v>
      </c>
      <c r="J12" s="23">
        <f>I12/'2'!C21</f>
        <v>0.63492063492063489</v>
      </c>
      <c r="K12" s="22">
        <f>20+12+20+17+20+17</f>
        <v>106</v>
      </c>
      <c r="L12" s="23">
        <f>K12/'2'!C21</f>
        <v>0.84126984126984128</v>
      </c>
      <c r="M12" s="211" t="s">
        <v>2</v>
      </c>
      <c r="N12" s="211" t="s">
        <v>128</v>
      </c>
      <c r="O12" s="211" t="s">
        <v>25</v>
      </c>
      <c r="P12" s="211" t="s">
        <v>26</v>
      </c>
      <c r="Q12" s="211" t="s">
        <v>25</v>
      </c>
      <c r="R12" s="211" t="s">
        <v>26</v>
      </c>
      <c r="S12" s="211" t="s">
        <v>25</v>
      </c>
      <c r="T12" s="211" t="s">
        <v>26</v>
      </c>
      <c r="U12" s="211" t="s">
        <v>25</v>
      </c>
      <c r="V12" s="211" t="s">
        <v>26</v>
      </c>
      <c r="W12" s="211" t="s">
        <v>25</v>
      </c>
      <c r="X12" s="211" t="s">
        <v>26</v>
      </c>
      <c r="AA12" s="21" t="s">
        <v>11</v>
      </c>
      <c r="AB12" s="44">
        <f>SUM(AB9:AB11)</f>
        <v>400</v>
      </c>
      <c r="AC12" s="99">
        <f>SUM(AC9:AC11)</f>
        <v>306</v>
      </c>
      <c r="AD12" s="23">
        <f>AC12/SUM(('2'!C22:C23),55)</f>
        <v>0.90801186943620182</v>
      </c>
      <c r="AE12" s="99">
        <f>SUM(AE9:AE11)</f>
        <v>284</v>
      </c>
      <c r="AF12" s="23">
        <f>AE12/SUM(('2'!C22:C23),27)</f>
        <v>0.91909385113268605</v>
      </c>
      <c r="AG12" s="99">
        <f>SUM(AG9:AG11)</f>
        <v>322</v>
      </c>
      <c r="AH12" s="23">
        <f>AG12/SUM(('2'!C22:C23),57)</f>
        <v>0.94985250737463123</v>
      </c>
      <c r="AI12" s="99">
        <f>SUM(AI9:AI11)</f>
        <v>389</v>
      </c>
      <c r="AJ12" s="23">
        <f>AI12/SUM('2'!C22:C24)</f>
        <v>0.97250000000000003</v>
      </c>
      <c r="AK12" s="99">
        <f>SUM(AK9:AK11)</f>
        <v>89</v>
      </c>
      <c r="AL12" s="23">
        <f>AK12/(61+12+16)</f>
        <v>1</v>
      </c>
      <c r="AM12" s="212"/>
      <c r="AN12" s="212"/>
      <c r="AO12" s="212"/>
      <c r="AP12" s="212"/>
      <c r="AQ12" s="212"/>
      <c r="AR12" s="212"/>
      <c r="AS12" s="212"/>
      <c r="AT12" s="212"/>
      <c r="AU12" s="212"/>
      <c r="AV12" s="212"/>
    </row>
    <row r="13" spans="1:63" ht="28.35" customHeight="1" thickBot="1" x14ac:dyDescent="0.25">
      <c r="A13" s="21" t="s">
        <v>11</v>
      </c>
      <c r="B13" s="22">
        <f>SUM(B11:B12)</f>
        <v>259</v>
      </c>
      <c r="C13" s="22">
        <f>SUM(C11:C12)</f>
        <v>190</v>
      </c>
      <c r="D13" s="23">
        <f>C13/SUM('2'!C20,'2'!C21)</f>
        <v>0.73359073359073357</v>
      </c>
      <c r="E13" s="22">
        <f>SUM(E11:E12)</f>
        <v>181</v>
      </c>
      <c r="F13" s="23">
        <f>E13/SUM('2'!C20,'2'!C21)</f>
        <v>0.69884169884169889</v>
      </c>
      <c r="G13" s="22">
        <f>SUM(G11:G12)</f>
        <v>204</v>
      </c>
      <c r="H13" s="23">
        <f>G13/SUM('2'!C20,'2'!C21)</f>
        <v>0.78764478764478763</v>
      </c>
      <c r="I13" s="22">
        <f>SUM(I11:I12)</f>
        <v>165</v>
      </c>
      <c r="J13" s="23">
        <f>I13/SUM('2'!C20,'2'!C21)</f>
        <v>0.63706563706563701</v>
      </c>
      <c r="K13" s="22">
        <f>SUM(K11:K12)</f>
        <v>208</v>
      </c>
      <c r="L13" s="23">
        <f>K13/SUM('2'!C20,'2'!C21)</f>
        <v>0.80308880308880304</v>
      </c>
      <c r="M13" s="212"/>
      <c r="N13" s="212"/>
      <c r="O13" s="212"/>
      <c r="P13" s="212"/>
      <c r="Q13" s="212"/>
      <c r="R13" s="212"/>
      <c r="S13" s="212"/>
      <c r="T13" s="212"/>
      <c r="U13" s="212"/>
      <c r="V13" s="212"/>
      <c r="W13" s="212"/>
      <c r="X13" s="212"/>
      <c r="AM13" s="110" t="s">
        <v>31</v>
      </c>
      <c r="AN13" s="111">
        <v>15</v>
      </c>
      <c r="AO13" s="112">
        <v>12</v>
      </c>
      <c r="AP13" s="113">
        <f>AO13/15</f>
        <v>0.8</v>
      </c>
      <c r="AQ13" s="112">
        <v>12</v>
      </c>
      <c r="AR13" s="113">
        <f>AQ13/15</f>
        <v>0.8</v>
      </c>
      <c r="AS13" s="112">
        <v>4</v>
      </c>
      <c r="AT13" s="113">
        <f>AS13/15</f>
        <v>0.26666666666666666</v>
      </c>
      <c r="AU13" s="112">
        <v>10</v>
      </c>
      <c r="AV13" s="113">
        <f>AU13/15</f>
        <v>0.66666666666666663</v>
      </c>
    </row>
    <row r="14" spans="1:63" s="93" customFormat="1" ht="28.35" customHeight="1" thickBot="1" x14ac:dyDescent="0.25">
      <c r="M14" s="29" t="s">
        <v>7</v>
      </c>
      <c r="N14" s="99">
        <f>'2'!C22</f>
        <v>162</v>
      </c>
      <c r="O14" s="99">
        <f>10+12+12+13+17+17+11+7</f>
        <v>99</v>
      </c>
      <c r="P14" s="23">
        <f>O14/'2'!C22</f>
        <v>0.61111111111111116</v>
      </c>
      <c r="Q14" s="99">
        <f>11+15+13+10+16+14+5+8</f>
        <v>92</v>
      </c>
      <c r="R14" s="23">
        <f>Q14/'2'!C22</f>
        <v>0.5679012345679012</v>
      </c>
      <c r="S14" s="99">
        <f>10+10+14+9+22+14</f>
        <v>79</v>
      </c>
      <c r="T14" s="23">
        <f>S14/(('2'!C22)-36)</f>
        <v>0.62698412698412698</v>
      </c>
      <c r="U14" s="99">
        <f>17+16</f>
        <v>33</v>
      </c>
      <c r="V14" s="23">
        <f>U14/36</f>
        <v>0.91666666666666663</v>
      </c>
      <c r="W14" s="99">
        <f>15+16+12+8+12+17+13+12</f>
        <v>105</v>
      </c>
      <c r="X14" s="23">
        <f>W14/'2'!C22</f>
        <v>0.64814814814814814</v>
      </c>
      <c r="Z14" s="83"/>
      <c r="AA14" s="83"/>
      <c r="AB14" s="83"/>
      <c r="AC14" s="108"/>
      <c r="AD14" s="109"/>
      <c r="AE14"/>
      <c r="AF14"/>
      <c r="AG14"/>
      <c r="AH14"/>
      <c r="AI14"/>
      <c r="AJ14"/>
      <c r="AK14"/>
      <c r="AL14"/>
      <c r="AM14" s="110" t="s">
        <v>184</v>
      </c>
      <c r="AN14" s="111">
        <v>9</v>
      </c>
      <c r="AO14" s="112">
        <v>5</v>
      </c>
      <c r="AP14" s="113">
        <f>AO14/9</f>
        <v>0.55555555555555558</v>
      </c>
      <c r="AQ14" s="112">
        <v>8</v>
      </c>
      <c r="AR14" s="113">
        <f>AQ14/11</f>
        <v>0.72727272727272729</v>
      </c>
      <c r="AS14" s="112">
        <v>6</v>
      </c>
      <c r="AT14" s="113">
        <f>AS14/11</f>
        <v>0.54545454545454541</v>
      </c>
      <c r="AU14" s="112">
        <v>5</v>
      </c>
      <c r="AV14" s="113">
        <f>AU14/11</f>
        <v>0.45454545454545453</v>
      </c>
      <c r="AX14"/>
    </row>
    <row r="15" spans="1:63" ht="28.35" customHeight="1" thickBot="1" x14ac:dyDescent="0.25">
      <c r="A15" s="100"/>
      <c r="B15" s="100"/>
      <c r="C15" s="216" t="s">
        <v>21</v>
      </c>
      <c r="D15" s="217"/>
      <c r="E15" s="216" t="s">
        <v>22</v>
      </c>
      <c r="F15" s="217"/>
      <c r="G15" s="216" t="s">
        <v>23</v>
      </c>
      <c r="H15" s="217"/>
      <c r="I15" s="216" t="s">
        <v>24</v>
      </c>
      <c r="J15" s="217"/>
      <c r="M15" s="29" t="s">
        <v>8</v>
      </c>
      <c r="N15" s="99">
        <f>'2'!C23</f>
        <v>120</v>
      </c>
      <c r="O15" s="99">
        <f>10+10+12+10+10+6</f>
        <v>58</v>
      </c>
      <c r="P15" s="23">
        <f>O15/'2'!C23</f>
        <v>0.48333333333333334</v>
      </c>
      <c r="Q15" s="99">
        <f>14+14+14+12+18+13</f>
        <v>85</v>
      </c>
      <c r="R15" s="23">
        <f>Q15/'2'!C23</f>
        <v>0.70833333333333337</v>
      </c>
      <c r="S15" s="99">
        <f>13+15+17+18+11</f>
        <v>74</v>
      </c>
      <c r="T15" s="23">
        <f>S15/('2'!C23-29)</f>
        <v>0.81318681318681318</v>
      </c>
      <c r="U15" s="105">
        <f>17+10</f>
        <v>27</v>
      </c>
      <c r="V15" s="106">
        <f>U15/29</f>
        <v>0.93103448275862066</v>
      </c>
      <c r="W15" s="99">
        <f>18+15+20+16+23+17</f>
        <v>109</v>
      </c>
      <c r="X15" s="23">
        <f>W15/'2'!C23</f>
        <v>0.90833333333333333</v>
      </c>
      <c r="Z15" s="83"/>
      <c r="AA15" s="83"/>
      <c r="AB15" s="83"/>
      <c r="AC15" s="83"/>
      <c r="AM15" s="114" t="s">
        <v>36</v>
      </c>
      <c r="AN15" s="111">
        <v>9</v>
      </c>
      <c r="AO15" s="115">
        <v>9</v>
      </c>
      <c r="AP15" s="113">
        <f>AO15/11</f>
        <v>0.81818181818181823</v>
      </c>
      <c r="AQ15" s="114">
        <v>6</v>
      </c>
      <c r="AR15" s="116">
        <f>AQ15/11</f>
        <v>0.54545454545454541</v>
      </c>
      <c r="AS15" s="114">
        <v>9</v>
      </c>
      <c r="AT15" s="116">
        <f>AS15/11</f>
        <v>0.81818181818181823</v>
      </c>
      <c r="AU15" s="114">
        <v>6</v>
      </c>
      <c r="AV15" s="116">
        <f>AU15/11</f>
        <v>0.54545454545454541</v>
      </c>
    </row>
    <row r="16" spans="1:63" ht="28.35" customHeight="1" thickBot="1" x14ac:dyDescent="0.25">
      <c r="A16" s="211" t="s">
        <v>2</v>
      </c>
      <c r="B16" s="211" t="s">
        <v>128</v>
      </c>
      <c r="C16" s="211" t="s">
        <v>25</v>
      </c>
      <c r="D16" s="211" t="s">
        <v>26</v>
      </c>
      <c r="E16" s="211" t="s">
        <v>25</v>
      </c>
      <c r="F16" s="211" t="s">
        <v>26</v>
      </c>
      <c r="G16" s="211" t="s">
        <v>25</v>
      </c>
      <c r="H16" s="211" t="s">
        <v>26</v>
      </c>
      <c r="I16" s="211" t="s">
        <v>25</v>
      </c>
      <c r="J16" s="211" t="s">
        <v>26</v>
      </c>
      <c r="M16" s="29" t="s">
        <v>9</v>
      </c>
      <c r="N16" s="99">
        <f>'2'!C24</f>
        <v>118</v>
      </c>
      <c r="O16" s="99">
        <f>16+15+20+19+26+2+4+3</f>
        <v>105</v>
      </c>
      <c r="P16" s="23">
        <f>O16/'2'!C24</f>
        <v>0.88983050847457623</v>
      </c>
      <c r="Q16" s="99">
        <f>16+24+20+17+21+2+1+5</f>
        <v>106</v>
      </c>
      <c r="R16" s="23">
        <f>Q16/'2'!C24</f>
        <v>0.89830508474576276</v>
      </c>
      <c r="S16" s="99">
        <f>10+15+22+13+2+1</f>
        <v>63</v>
      </c>
      <c r="T16" s="23">
        <f>S16/('2'!C24-22)</f>
        <v>0.65625</v>
      </c>
      <c r="U16" s="105">
        <v>21</v>
      </c>
      <c r="V16" s="106">
        <f>U16/22</f>
        <v>0.95454545454545459</v>
      </c>
      <c r="W16" s="99">
        <f>26+15+18+16+20+2+3+5</f>
        <v>105</v>
      </c>
      <c r="X16" s="23">
        <f>W16/'2'!C24</f>
        <v>0.88983050847457623</v>
      </c>
      <c r="Z16" s="83"/>
      <c r="AA16" s="83"/>
      <c r="AB16" s="83"/>
      <c r="AC16" s="83"/>
      <c r="AM16" s="114" t="s">
        <v>11</v>
      </c>
      <c r="AN16" s="111">
        <f>SUM(AN13:AN15)</f>
        <v>33</v>
      </c>
      <c r="AO16" s="115">
        <f>SUM(AO13:AO15)</f>
        <v>26</v>
      </c>
      <c r="AP16" s="117">
        <f>AO16/'2'!C25</f>
        <v>0.78787878787878785</v>
      </c>
      <c r="AQ16" s="115">
        <f>SUM(AQ13:AQ15)</f>
        <v>26</v>
      </c>
      <c r="AR16" s="117">
        <f>AQ16/'2'!C25</f>
        <v>0.78787878787878785</v>
      </c>
      <c r="AS16" s="115">
        <f>SUM(AS13:AS15)</f>
        <v>19</v>
      </c>
      <c r="AT16" s="117">
        <f>AS16/'2'!C25</f>
        <v>0.5757575757575758</v>
      </c>
      <c r="AU16" s="115">
        <f>SUM(AU13:AU15)</f>
        <v>21</v>
      </c>
      <c r="AV16" s="117">
        <f>AU16/'2'!C25</f>
        <v>0.63636363636363635</v>
      </c>
    </row>
    <row r="17" spans="1:51" ht="28.35" customHeight="1" thickBot="1" x14ac:dyDescent="0.25">
      <c r="A17" s="212"/>
      <c r="B17" s="212"/>
      <c r="C17" s="212"/>
      <c r="D17" s="212"/>
      <c r="E17" s="212"/>
      <c r="F17" s="212"/>
      <c r="G17" s="212"/>
      <c r="H17" s="212"/>
      <c r="I17" s="212"/>
      <c r="J17" s="212"/>
      <c r="M17" s="21" t="s">
        <v>11</v>
      </c>
      <c r="N17" s="44">
        <f>SUM(N14:N16)</f>
        <v>400</v>
      </c>
      <c r="O17" s="99">
        <f>SUM(O14:O16)</f>
        <v>262</v>
      </c>
      <c r="P17" s="23">
        <f>O17/SUM('2'!C22:C24)</f>
        <v>0.65500000000000003</v>
      </c>
      <c r="Q17" s="99">
        <f>SUM(Q14:Q16)</f>
        <v>283</v>
      </c>
      <c r="R17" s="23">
        <f>Q17/SUM('2'!C22:C24)</f>
        <v>0.70750000000000002</v>
      </c>
      <c r="S17" s="99">
        <f>SUM(S14:S16)</f>
        <v>216</v>
      </c>
      <c r="T17" s="23">
        <f>S17/(SUM('2'!C22:C24)-27)</f>
        <v>0.579088471849866</v>
      </c>
      <c r="U17" s="99">
        <f>SUM(U14:U16)</f>
        <v>81</v>
      </c>
      <c r="V17" s="23">
        <f>U17/(29+36+22)</f>
        <v>0.93103448275862066</v>
      </c>
      <c r="W17" s="99">
        <f>SUM(W14:W16)</f>
        <v>319</v>
      </c>
      <c r="X17" s="23">
        <f>W17/SUM('2'!C22:C24)</f>
        <v>0.79749999999999999</v>
      </c>
      <c r="Z17" s="83"/>
      <c r="AA17" s="83"/>
      <c r="AB17" s="83"/>
      <c r="AC17" s="83"/>
    </row>
    <row r="18" spans="1:51" ht="28.35" customHeight="1" thickBot="1" x14ac:dyDescent="0.25">
      <c r="A18" s="29" t="s">
        <v>5</v>
      </c>
      <c r="B18" s="99">
        <f>'2'!C20</f>
        <v>133</v>
      </c>
      <c r="C18" s="99">
        <f>21+18+19+19+17+16</f>
        <v>110</v>
      </c>
      <c r="D18" s="23">
        <f>C18/'2'!C20</f>
        <v>0.82706766917293228</v>
      </c>
      <c r="E18" s="99">
        <f>20+17+17+20+16+17</f>
        <v>107</v>
      </c>
      <c r="F18" s="23">
        <f>E18/'2'!C20</f>
        <v>0.80451127819548873</v>
      </c>
      <c r="G18" s="99">
        <f>25+17+16+21+18+23</f>
        <v>120</v>
      </c>
      <c r="H18" s="23">
        <f>G18/'2'!C20</f>
        <v>0.90225563909774431</v>
      </c>
      <c r="I18" s="99">
        <f>11+7+8+7+5+4</f>
        <v>42</v>
      </c>
      <c r="J18" s="23">
        <f>I18/44</f>
        <v>0.95454545454545459</v>
      </c>
      <c r="M18" s="27"/>
      <c r="N18" s="28"/>
      <c r="O18" s="27"/>
      <c r="P18" s="28"/>
      <c r="Q18" s="27"/>
      <c r="R18" s="28"/>
      <c r="S18" s="27"/>
      <c r="T18" s="28"/>
      <c r="U18" s="27"/>
      <c r="V18" s="28"/>
      <c r="W18" s="27"/>
      <c r="X18" s="28"/>
      <c r="Z18" s="83"/>
      <c r="AA18" s="83"/>
      <c r="AB18" s="83"/>
      <c r="AC18" s="83"/>
    </row>
    <row r="19" spans="1:51" ht="28.35" customHeight="1" thickBot="1" x14ac:dyDescent="0.25">
      <c r="A19" s="29" t="s">
        <v>6</v>
      </c>
      <c r="B19" s="99">
        <v>126</v>
      </c>
      <c r="C19" s="99">
        <f>20+18+19+18+20+18</f>
        <v>113</v>
      </c>
      <c r="D19" s="23">
        <f>C19/'2'!C21</f>
        <v>0.89682539682539686</v>
      </c>
      <c r="E19" s="99">
        <f>22+17+17+14+20+13</f>
        <v>103</v>
      </c>
      <c r="F19" s="23">
        <f>E19/'2'!C21</f>
        <v>0.81746031746031744</v>
      </c>
      <c r="G19" s="99">
        <f>22+16+20+18+20+19</f>
        <v>115</v>
      </c>
      <c r="H19" s="23">
        <f>G19/'2'!C21</f>
        <v>0.91269841269841268</v>
      </c>
      <c r="I19" s="99">
        <f>13+6+7+7+10+6</f>
        <v>49</v>
      </c>
      <c r="J19" s="23">
        <f>I19/49</f>
        <v>1</v>
      </c>
      <c r="O19" s="213" t="s">
        <v>28</v>
      </c>
      <c r="P19" s="214"/>
      <c r="Q19" s="213" t="s">
        <v>19</v>
      </c>
      <c r="R19" s="214"/>
      <c r="S19" s="213" t="s">
        <v>20</v>
      </c>
      <c r="T19" s="214"/>
      <c r="U19" s="213" t="s">
        <v>29</v>
      </c>
      <c r="V19" s="214"/>
      <c r="W19" s="213" t="s">
        <v>121</v>
      </c>
      <c r="X19" s="214"/>
      <c r="Z19" s="83"/>
      <c r="AA19" s="83"/>
      <c r="AB19" s="83"/>
      <c r="AC19" s="83"/>
    </row>
    <row r="20" spans="1:51" ht="28.35" customHeight="1" thickBot="1" x14ac:dyDescent="0.25">
      <c r="A20" s="21" t="s">
        <v>11</v>
      </c>
      <c r="B20" s="99">
        <f>SUM(B18:B19)</f>
        <v>259</v>
      </c>
      <c r="C20" s="99">
        <f>SUM(C18:C19)</f>
        <v>223</v>
      </c>
      <c r="D20" s="23">
        <f>C20/SUM('2'!C20,'2'!C21)</f>
        <v>0.86100386100386095</v>
      </c>
      <c r="E20" s="99">
        <f>SUM(E18:E19)</f>
        <v>210</v>
      </c>
      <c r="F20" s="23">
        <f>E20/SUM('2'!C20,'2'!C21)</f>
        <v>0.81081081081081086</v>
      </c>
      <c r="G20" s="99">
        <f>SUM(G18:G19)</f>
        <v>235</v>
      </c>
      <c r="H20" s="23">
        <f>G20/SUM('2'!C20,'2'!C21)</f>
        <v>0.9073359073359073</v>
      </c>
      <c r="I20" s="99">
        <f>SUM(I18:I19)</f>
        <v>91</v>
      </c>
      <c r="J20" s="23">
        <f>I20/(44+49)</f>
        <v>0.978494623655914</v>
      </c>
      <c r="M20" s="211" t="s">
        <v>2</v>
      </c>
      <c r="N20" s="211" t="s">
        <v>128</v>
      </c>
      <c r="O20" s="211" t="s">
        <v>25</v>
      </c>
      <c r="P20" s="211" t="s">
        <v>26</v>
      </c>
      <c r="Q20" s="211" t="s">
        <v>25</v>
      </c>
      <c r="R20" s="211" t="s">
        <v>26</v>
      </c>
      <c r="S20" s="211" t="s">
        <v>25</v>
      </c>
      <c r="T20" s="211" t="s">
        <v>26</v>
      </c>
      <c r="U20" s="211" t="s">
        <v>25</v>
      </c>
      <c r="V20" s="211" t="s">
        <v>26</v>
      </c>
      <c r="W20" s="211" t="s">
        <v>25</v>
      </c>
      <c r="X20" s="211" t="s">
        <v>26</v>
      </c>
      <c r="Z20" s="83"/>
      <c r="AA20" s="83"/>
      <c r="AB20" s="83"/>
      <c r="AC20" s="83"/>
    </row>
    <row r="21" spans="1:51" ht="28.35" customHeight="1" thickBot="1" x14ac:dyDescent="0.25">
      <c r="M21" s="212"/>
      <c r="N21" s="212"/>
      <c r="O21" s="212"/>
      <c r="P21" s="212"/>
      <c r="Q21" s="212"/>
      <c r="R21" s="212"/>
      <c r="S21" s="212"/>
      <c r="T21" s="212"/>
      <c r="U21" s="212"/>
      <c r="V21" s="212"/>
      <c r="W21" s="212"/>
      <c r="X21" s="212"/>
      <c r="Z21" s="83"/>
      <c r="AA21" s="83"/>
      <c r="AB21" s="83"/>
      <c r="AC21" s="83"/>
    </row>
    <row r="22" spans="1:51" ht="28.35" customHeight="1" thickBot="1" x14ac:dyDescent="0.25">
      <c r="M22" s="29" t="s">
        <v>7</v>
      </c>
      <c r="N22" s="99">
        <f>'2'!C22</f>
        <v>162</v>
      </c>
      <c r="O22" s="99">
        <f>8+11+8+7+12+17+9+9</f>
        <v>81</v>
      </c>
      <c r="P22" s="23">
        <f>O22/'2'!C22</f>
        <v>0.5</v>
      </c>
      <c r="Q22" s="99">
        <f>9+11+8+8+21+18+15+10</f>
        <v>100</v>
      </c>
      <c r="R22" s="23">
        <f>Q22/'2'!C22</f>
        <v>0.61728395061728392</v>
      </c>
      <c r="S22" s="99">
        <f>14+15+10+14+20+22+13+12</f>
        <v>120</v>
      </c>
      <c r="T22" s="23">
        <f>S22/'2'!C22</f>
        <v>0.7407407407407407</v>
      </c>
      <c r="U22" s="99">
        <f>14+18+10+9+23+17+14+13</f>
        <v>118</v>
      </c>
      <c r="V22" s="23">
        <f>U22/'2'!C22</f>
        <v>0.72839506172839508</v>
      </c>
      <c r="W22" s="105" t="s">
        <v>163</v>
      </c>
      <c r="X22" s="106" t="s">
        <v>118</v>
      </c>
    </row>
    <row r="23" spans="1:51" ht="28.35" customHeight="1" thickBot="1" x14ac:dyDescent="0.3">
      <c r="M23" s="29" t="s">
        <v>8</v>
      </c>
      <c r="N23" s="99">
        <f>'2'!C23</f>
        <v>120</v>
      </c>
      <c r="O23" s="99">
        <f>21+11+24+18+18+16</f>
        <v>108</v>
      </c>
      <c r="P23" s="23">
        <f>O23/'2'!C23</f>
        <v>0.9</v>
      </c>
      <c r="Q23" s="99">
        <f>17+11+20+16+14+8</f>
        <v>86</v>
      </c>
      <c r="R23" s="23">
        <f>Q23/'2'!C23</f>
        <v>0.71666666666666667</v>
      </c>
      <c r="S23" s="99">
        <f>21+16+24+20+18+16</f>
        <v>115</v>
      </c>
      <c r="T23" s="23">
        <f>S23/'2'!C23</f>
        <v>0.95833333333333337</v>
      </c>
      <c r="U23" s="99">
        <f>16+16+19+16+23+20</f>
        <v>110</v>
      </c>
      <c r="V23" s="23">
        <f>U23/'2'!C23</f>
        <v>0.91666666666666663</v>
      </c>
      <c r="W23" s="105" t="s">
        <v>163</v>
      </c>
      <c r="X23" s="106" t="s">
        <v>118</v>
      </c>
      <c r="AM23" s="3" t="s">
        <v>241</v>
      </c>
    </row>
    <row r="24" spans="1:51" ht="28.35" customHeight="1" thickBot="1" x14ac:dyDescent="0.25">
      <c r="M24" s="29" t="s">
        <v>9</v>
      </c>
      <c r="N24" s="99">
        <f>'2'!C24</f>
        <v>118</v>
      </c>
      <c r="O24" s="99">
        <f>19+27+14+14+18+1+1+3</f>
        <v>97</v>
      </c>
      <c r="P24" s="23">
        <f>O24/'2'!C24</f>
        <v>0.82203389830508478</v>
      </c>
      <c r="Q24" s="99">
        <f>20+20+17+11+14+3+2</f>
        <v>87</v>
      </c>
      <c r="R24" s="23">
        <f>Q24/'2'!C24</f>
        <v>0.73728813559322037</v>
      </c>
      <c r="S24" s="99">
        <f>21+27+16+20+17+2+1+3</f>
        <v>107</v>
      </c>
      <c r="T24" s="23">
        <f>S24/'2'!C24</f>
        <v>0.90677966101694918</v>
      </c>
      <c r="U24" s="99">
        <f>12+27+16+13+20+1</f>
        <v>89</v>
      </c>
      <c r="V24" s="23">
        <f>U24/'2'!C24</f>
        <v>0.75423728813559321</v>
      </c>
      <c r="W24" s="99">
        <f>16+27+20+17+20+1+5+3+7</f>
        <v>116</v>
      </c>
      <c r="X24" s="23">
        <f>W24/'2'!C24</f>
        <v>0.98305084745762716</v>
      </c>
    </row>
    <row r="25" spans="1:51" ht="28.35" customHeight="1" thickBot="1" x14ac:dyDescent="0.25">
      <c r="M25" s="21" t="s">
        <v>11</v>
      </c>
      <c r="N25" s="44">
        <f>SUM(N22:N24)</f>
        <v>400</v>
      </c>
      <c r="O25" s="99">
        <f>SUM(O22:O24)</f>
        <v>286</v>
      </c>
      <c r="P25" s="23">
        <f>O25/SUM('2'!C22:C24)</f>
        <v>0.71499999999999997</v>
      </c>
      <c r="Q25" s="99">
        <f>SUM(Q22:Q24)</f>
        <v>273</v>
      </c>
      <c r="R25" s="23">
        <f>Q25/SUM('2'!C22:C24)</f>
        <v>0.6825</v>
      </c>
      <c r="S25" s="99">
        <f>SUM(S22:S24)</f>
        <v>342</v>
      </c>
      <c r="T25" s="23">
        <f>S25/SUM('2'!C22:C24)</f>
        <v>0.85499999999999998</v>
      </c>
      <c r="U25" s="99">
        <f>SUM(U22:U24)</f>
        <v>317</v>
      </c>
      <c r="V25" s="23">
        <f>U25/SUM('2'!C22:C24)</f>
        <v>0.79249999999999998</v>
      </c>
      <c r="W25" s="99">
        <f>SUM(W22:W24)</f>
        <v>116</v>
      </c>
      <c r="X25" s="23">
        <f>W25/'2'!C24</f>
        <v>0.98305084745762716</v>
      </c>
      <c r="AM25" s="93"/>
      <c r="AN25" s="93"/>
      <c r="AO25" s="213" t="s">
        <v>33</v>
      </c>
      <c r="AP25" s="214"/>
      <c r="AQ25" s="213" t="s">
        <v>34</v>
      </c>
      <c r="AR25" s="214"/>
      <c r="AS25" s="213" t="s">
        <v>35</v>
      </c>
      <c r="AT25" s="214"/>
      <c r="AU25" s="213" t="s">
        <v>23</v>
      </c>
      <c r="AV25" s="214"/>
    </row>
    <row r="26" spans="1:51" ht="28.35" customHeight="1" x14ac:dyDescent="0.2">
      <c r="A26" s="131"/>
      <c r="B26" s="131"/>
      <c r="C26" s="131"/>
      <c r="D26" s="131"/>
      <c r="E26" s="131"/>
      <c r="F26" s="131"/>
      <c r="G26" s="131"/>
      <c r="H26" s="131"/>
      <c r="I26" s="131"/>
      <c r="J26" s="131"/>
      <c r="K26" s="131"/>
      <c r="L26" s="131"/>
      <c r="AM26" s="211" t="s">
        <v>2</v>
      </c>
      <c r="AN26" s="211" t="s">
        <v>128</v>
      </c>
      <c r="AO26" s="211" t="s">
        <v>25</v>
      </c>
      <c r="AP26" s="211" t="s">
        <v>26</v>
      </c>
      <c r="AQ26" s="211" t="s">
        <v>25</v>
      </c>
      <c r="AR26" s="211" t="s">
        <v>26</v>
      </c>
      <c r="AS26" s="211" t="s">
        <v>25</v>
      </c>
      <c r="AT26" s="211" t="s">
        <v>26</v>
      </c>
      <c r="AU26" s="211" t="s">
        <v>25</v>
      </c>
      <c r="AV26" s="211" t="s">
        <v>26</v>
      </c>
    </row>
    <row r="27" spans="1:51" ht="18.75" customHeight="1" thickBot="1" x14ac:dyDescent="0.25">
      <c r="A27" s="132"/>
      <c r="B27" s="132"/>
      <c r="C27" s="132"/>
      <c r="D27" s="132"/>
      <c r="E27" s="132"/>
      <c r="F27" s="132"/>
      <c r="G27" s="132"/>
      <c r="H27" s="132"/>
      <c r="I27" s="132"/>
      <c r="J27" s="132"/>
      <c r="K27" s="132"/>
      <c r="L27" s="132"/>
      <c r="AM27" s="212"/>
      <c r="AN27" s="212"/>
      <c r="AO27" s="212"/>
      <c r="AP27" s="212"/>
      <c r="AQ27" s="212"/>
      <c r="AR27" s="212"/>
      <c r="AS27" s="212"/>
      <c r="AT27" s="212"/>
      <c r="AU27" s="212"/>
      <c r="AV27" s="212"/>
      <c r="AY27" s="66"/>
    </row>
    <row r="28" spans="1:51" s="93" customFormat="1" ht="28.35" customHeight="1" thickBot="1" x14ac:dyDescent="0.25">
      <c r="AM28" s="43" t="s">
        <v>31</v>
      </c>
      <c r="AN28" s="44">
        <f>AN13</f>
        <v>15</v>
      </c>
      <c r="AO28" s="112">
        <v>14</v>
      </c>
      <c r="AP28" s="113">
        <f>AO28/15</f>
        <v>0.93333333333333335</v>
      </c>
      <c r="AQ28" s="180">
        <v>14</v>
      </c>
      <c r="AR28" s="23">
        <f>AQ28/15</f>
        <v>0.93333333333333335</v>
      </c>
      <c r="AS28" s="180">
        <v>13</v>
      </c>
      <c r="AT28" s="23">
        <f>AS28/15</f>
        <v>0.8666666666666667</v>
      </c>
      <c r="AU28" s="180">
        <v>11</v>
      </c>
      <c r="AV28" s="23">
        <f>AU28/15</f>
        <v>0.73333333333333328</v>
      </c>
      <c r="AW28"/>
      <c r="AX28"/>
    </row>
    <row r="29" spans="1:51" s="93" customFormat="1" ht="28.35" customHeight="1" thickBot="1" x14ac:dyDescent="0.25">
      <c r="AM29" s="43" t="s">
        <v>184</v>
      </c>
      <c r="AN29" s="44">
        <f>AN14</f>
        <v>9</v>
      </c>
      <c r="AO29" s="112">
        <v>9</v>
      </c>
      <c r="AP29" s="113">
        <f>AO29/11</f>
        <v>0.81818181818181823</v>
      </c>
      <c r="AQ29" s="180">
        <v>9</v>
      </c>
      <c r="AR29" s="23">
        <f>AQ29/11</f>
        <v>0.81818181818181823</v>
      </c>
      <c r="AS29" s="180">
        <v>9</v>
      </c>
      <c r="AT29" s="23">
        <f>AS29/11</f>
        <v>0.81818181818181823</v>
      </c>
      <c r="AU29" s="180">
        <v>9</v>
      </c>
      <c r="AV29" s="23">
        <f>AU29/11</f>
        <v>0.81818181818181823</v>
      </c>
      <c r="AW29"/>
      <c r="AX29"/>
    </row>
    <row r="30" spans="1:51" s="93" customFormat="1" ht="28.35" customHeight="1" thickBot="1" x14ac:dyDescent="0.25">
      <c r="AM30" s="122" t="s">
        <v>36</v>
      </c>
      <c r="AN30" s="44">
        <f>AN15</f>
        <v>9</v>
      </c>
      <c r="AO30" s="182">
        <v>9</v>
      </c>
      <c r="AP30" s="116">
        <f>AO30/11</f>
        <v>0.81818181818181823</v>
      </c>
      <c r="AQ30" s="181">
        <v>9</v>
      </c>
      <c r="AR30" s="152">
        <f>AQ30/11</f>
        <v>0.81818181818181823</v>
      </c>
      <c r="AS30" s="175">
        <v>8</v>
      </c>
      <c r="AT30" s="152">
        <f>AS30/11</f>
        <v>0.72727272727272729</v>
      </c>
      <c r="AU30" s="181">
        <v>8</v>
      </c>
      <c r="AV30" s="152">
        <f>AU30/11</f>
        <v>0.72727272727272729</v>
      </c>
      <c r="AW30"/>
      <c r="AX30"/>
    </row>
    <row r="31" spans="1:51" s="93" customFormat="1" ht="28.35" customHeight="1" thickBot="1" x14ac:dyDescent="0.25">
      <c r="A31" s="100"/>
      <c r="B31" s="100"/>
      <c r="AM31" s="169" t="s">
        <v>11</v>
      </c>
      <c r="AN31" s="44">
        <f>SUM(AN28:AN30)</f>
        <v>33</v>
      </c>
      <c r="AO31" s="115">
        <f>SUM(AO28:AO30)</f>
        <v>32</v>
      </c>
      <c r="AP31" s="117">
        <f>AO31/'2'!D25</f>
        <v>0.96969696969696972</v>
      </c>
      <c r="AQ31" s="175">
        <f>SUM(AQ28:AQ30)</f>
        <v>32</v>
      </c>
      <c r="AR31" s="176">
        <f>AQ31/'2'!D25</f>
        <v>0.96969696969696972</v>
      </c>
      <c r="AS31" s="175">
        <f>SUM(AS28:AS30)</f>
        <v>30</v>
      </c>
      <c r="AT31" s="176">
        <f>AS31/'2'!D25</f>
        <v>0.90909090909090906</v>
      </c>
      <c r="AU31" s="175">
        <f>SUM(AU28:AU30)</f>
        <v>28</v>
      </c>
      <c r="AV31" s="176">
        <f>AU31/'2'!D25</f>
        <v>0.84848484848484851</v>
      </c>
      <c r="AW31"/>
      <c r="AX31"/>
    </row>
    <row r="32" spans="1:51" ht="28.35" customHeight="1" x14ac:dyDescent="0.2">
      <c r="A32" s="100"/>
      <c r="B32" s="100"/>
      <c r="C32" s="93"/>
      <c r="D32" s="93"/>
      <c r="E32" s="93"/>
      <c r="F32" s="93"/>
      <c r="G32" s="93"/>
      <c r="H32" s="93"/>
      <c r="I32" s="93"/>
      <c r="J32" s="93"/>
      <c r="K32" s="93"/>
      <c r="L32" s="93"/>
    </row>
    <row r="33" spans="1:51" ht="28.35" customHeight="1" x14ac:dyDescent="0.2">
      <c r="A33" s="100"/>
      <c r="B33" s="100"/>
      <c r="C33" s="93"/>
      <c r="D33" s="93"/>
      <c r="E33" s="93"/>
      <c r="F33" s="93"/>
      <c r="G33" s="93"/>
      <c r="H33" s="93"/>
      <c r="I33" s="93"/>
      <c r="J33" s="93"/>
      <c r="K33" s="93"/>
      <c r="L33" s="93"/>
      <c r="AM33" s="93"/>
      <c r="AN33" s="93"/>
      <c r="AO33" s="93"/>
      <c r="AP33" s="93"/>
      <c r="AQ33" s="93"/>
      <c r="AR33" s="93"/>
      <c r="AS33" s="93"/>
      <c r="AT33" s="93"/>
      <c r="AU33" s="93"/>
      <c r="AV33" s="93"/>
      <c r="AW33" s="93"/>
      <c r="AX33" s="93"/>
    </row>
    <row r="34" spans="1:51" ht="28.35" customHeight="1" x14ac:dyDescent="0.2">
      <c r="A34" s="100"/>
      <c r="B34" s="100"/>
      <c r="C34" s="93"/>
      <c r="D34" s="93"/>
      <c r="E34" s="93"/>
      <c r="F34" s="93"/>
      <c r="G34" s="93"/>
      <c r="H34" s="93"/>
      <c r="I34" s="93"/>
      <c r="J34" s="93"/>
      <c r="K34" s="93"/>
      <c r="L34" s="93"/>
    </row>
    <row r="35" spans="1:51" ht="12.75" customHeight="1" x14ac:dyDescent="0.2">
      <c r="A35" s="100"/>
      <c r="B35" s="100"/>
      <c r="C35" s="93"/>
      <c r="D35" s="93"/>
      <c r="E35" s="93"/>
      <c r="F35" s="93"/>
      <c r="G35" s="93"/>
      <c r="H35" s="93"/>
      <c r="I35" s="93"/>
      <c r="J35" s="93"/>
      <c r="K35" s="93"/>
      <c r="L35" s="93"/>
    </row>
    <row r="36" spans="1:51" ht="15.75" customHeight="1" x14ac:dyDescent="0.2">
      <c r="A36" s="100"/>
      <c r="B36" s="100"/>
      <c r="C36" s="93"/>
      <c r="D36" s="93"/>
      <c r="E36" s="93"/>
      <c r="F36" s="93"/>
      <c r="G36" s="93"/>
      <c r="H36" s="93"/>
      <c r="I36" s="93"/>
      <c r="J36" s="93"/>
      <c r="K36" s="93"/>
      <c r="L36" s="93"/>
    </row>
    <row r="37" spans="1:51" ht="9.75" customHeight="1" x14ac:dyDescent="0.2">
      <c r="A37" s="93"/>
      <c r="B37" s="93"/>
      <c r="C37" s="93"/>
      <c r="D37" s="93"/>
      <c r="E37" s="93"/>
      <c r="F37" s="93"/>
      <c r="G37" s="93"/>
      <c r="H37" s="93"/>
      <c r="I37" s="93"/>
      <c r="J37" s="93"/>
      <c r="K37" s="93"/>
      <c r="L37" s="93"/>
    </row>
    <row r="38" spans="1:51" ht="22.5" customHeight="1" x14ac:dyDescent="0.2">
      <c r="A38" s="93"/>
      <c r="B38" s="93"/>
      <c r="C38" s="93"/>
      <c r="D38" s="93"/>
      <c r="E38" s="93"/>
      <c r="F38" s="93"/>
      <c r="G38" s="93"/>
      <c r="H38" s="93"/>
      <c r="I38" s="93"/>
      <c r="J38" s="93"/>
      <c r="K38" s="93"/>
      <c r="L38" s="93"/>
    </row>
    <row r="39" spans="1:51" ht="22.5" customHeight="1" x14ac:dyDescent="0.2">
      <c r="A39" s="93"/>
      <c r="B39" s="93"/>
      <c r="C39" s="93"/>
      <c r="D39" s="93"/>
      <c r="E39" s="93"/>
      <c r="F39" s="93"/>
      <c r="G39" s="93"/>
      <c r="H39" s="93"/>
      <c r="I39" s="93"/>
      <c r="J39" s="93"/>
      <c r="K39" s="93"/>
      <c r="L39" s="93"/>
    </row>
    <row r="40" spans="1:51" ht="12.75" customHeight="1" x14ac:dyDescent="0.2">
      <c r="A40" s="93"/>
      <c r="B40" s="93"/>
      <c r="C40" s="93"/>
      <c r="D40" s="93"/>
      <c r="E40" s="93"/>
      <c r="F40" s="93"/>
      <c r="G40" s="93"/>
      <c r="H40" s="93"/>
      <c r="I40" s="93"/>
      <c r="J40" s="93"/>
      <c r="K40" s="93"/>
      <c r="L40" s="93"/>
    </row>
    <row r="41" spans="1:51" ht="12.75" customHeight="1" x14ac:dyDescent="0.2">
      <c r="A41" s="67"/>
      <c r="B41" s="67"/>
      <c r="C41" s="93"/>
      <c r="D41" s="93"/>
      <c r="E41" s="93"/>
      <c r="F41" s="93"/>
      <c r="G41" s="93"/>
      <c r="H41" s="93"/>
      <c r="I41" s="93"/>
      <c r="J41" s="93"/>
      <c r="K41" s="93"/>
      <c r="L41" s="93">
        <v>6</v>
      </c>
      <c r="Y41">
        <v>7</v>
      </c>
      <c r="AL41">
        <v>8</v>
      </c>
      <c r="AY41">
        <v>9</v>
      </c>
    </row>
    <row r="42" spans="1:51" ht="12.75" customHeight="1" x14ac:dyDescent="0.2">
      <c r="A42" s="67"/>
      <c r="B42" s="67"/>
      <c r="C42" s="93"/>
      <c r="D42" s="93"/>
      <c r="E42" s="93"/>
      <c r="F42" s="93"/>
      <c r="G42" s="93"/>
      <c r="H42" s="93"/>
      <c r="I42" s="93"/>
      <c r="J42" s="93"/>
      <c r="K42" s="93"/>
      <c r="L42" s="93"/>
    </row>
    <row r="43" spans="1:51" ht="15.75" customHeight="1" x14ac:dyDescent="0.2">
      <c r="A43" s="93"/>
      <c r="B43" s="93"/>
      <c r="C43" s="93"/>
      <c r="D43" s="93"/>
      <c r="E43" s="93"/>
      <c r="F43" s="93"/>
      <c r="G43" s="93"/>
      <c r="H43" s="93"/>
      <c r="I43" s="93"/>
      <c r="J43" s="93"/>
      <c r="K43" s="93"/>
      <c r="L43" s="93"/>
    </row>
    <row r="44" spans="1:51" ht="15.75" customHeight="1" x14ac:dyDescent="0.2">
      <c r="A44" s="93"/>
      <c r="B44" s="93"/>
      <c r="C44" s="93"/>
      <c r="D44" s="93"/>
      <c r="E44" s="93"/>
      <c r="F44" s="93"/>
      <c r="G44" s="93"/>
      <c r="H44" s="93"/>
      <c r="I44" s="93"/>
      <c r="J44" s="93"/>
      <c r="K44" s="93"/>
      <c r="L44" s="93"/>
    </row>
    <row r="45" spans="1:51" ht="28.35" customHeight="1" x14ac:dyDescent="0.2"/>
    <row r="46" spans="1:51" ht="28.35" customHeight="1" x14ac:dyDescent="0.2"/>
    <row r="47" spans="1:51" ht="28.35" customHeight="1" x14ac:dyDescent="0.2"/>
    <row r="48" spans="1:51" ht="28.35" customHeight="1" x14ac:dyDescent="0.2"/>
    <row r="49" spans="1:37" ht="28.35" customHeight="1" x14ac:dyDescent="0.2"/>
    <row r="50" spans="1:37" ht="28.35" customHeight="1" x14ac:dyDescent="0.2"/>
    <row r="51" spans="1:37" ht="28.35" customHeight="1" x14ac:dyDescent="0.2"/>
    <row r="52" spans="1:37" ht="28.35" customHeight="1" x14ac:dyDescent="0.2">
      <c r="A52" s="128"/>
      <c r="B52" s="128"/>
      <c r="C52" s="133"/>
      <c r="D52" s="133"/>
      <c r="E52" s="133"/>
      <c r="F52" s="133"/>
      <c r="G52" s="133"/>
      <c r="H52" s="133"/>
      <c r="I52" s="133"/>
      <c r="J52" s="133"/>
    </row>
    <row r="53" spans="1:37" x14ac:dyDescent="0.2">
      <c r="C53" s="10"/>
      <c r="D53" s="10"/>
      <c r="E53" s="10"/>
      <c r="F53" s="10"/>
      <c r="G53" s="10"/>
      <c r="H53" s="10"/>
      <c r="I53" s="10"/>
      <c r="J53" s="10"/>
    </row>
    <row r="58" spans="1:37" x14ac:dyDescent="0.2">
      <c r="Z58" s="93"/>
      <c r="AA58" s="93"/>
      <c r="AB58" s="93"/>
      <c r="AC58" s="93"/>
      <c r="AD58" s="93"/>
      <c r="AE58" s="93"/>
      <c r="AF58" s="93"/>
      <c r="AG58" s="93"/>
      <c r="AH58" s="93"/>
      <c r="AI58" s="93"/>
      <c r="AJ58" s="93"/>
      <c r="AK58" s="93"/>
    </row>
    <row r="59" spans="1:37" x14ac:dyDescent="0.2">
      <c r="Z59" s="93"/>
      <c r="AA59" s="93"/>
      <c r="AB59" s="93"/>
      <c r="AC59" s="93"/>
      <c r="AD59" s="93"/>
      <c r="AE59" s="93"/>
      <c r="AF59" s="93"/>
      <c r="AG59" s="93"/>
      <c r="AH59" s="93"/>
      <c r="AI59" s="93"/>
      <c r="AJ59" s="93"/>
      <c r="AK59" s="93"/>
    </row>
    <row r="60" spans="1:37" ht="28.35" customHeight="1" x14ac:dyDescent="0.2">
      <c r="Z60" s="93"/>
      <c r="AA60" s="93"/>
      <c r="AB60" s="93"/>
      <c r="AC60" s="93"/>
      <c r="AD60" s="93"/>
      <c r="AE60" s="93"/>
      <c r="AF60" s="93"/>
      <c r="AG60" s="93"/>
      <c r="AH60" s="93"/>
      <c r="AI60" s="93"/>
      <c r="AJ60" s="93"/>
      <c r="AK60" s="93"/>
    </row>
    <row r="61" spans="1:37" x14ac:dyDescent="0.2">
      <c r="Z61" s="93"/>
      <c r="AA61" s="93"/>
      <c r="AB61" s="93"/>
      <c r="AC61" s="93"/>
      <c r="AD61" s="93"/>
      <c r="AE61" s="93"/>
      <c r="AF61" s="93"/>
      <c r="AG61" s="93"/>
      <c r="AH61" s="93"/>
      <c r="AI61" s="93"/>
      <c r="AJ61" s="93"/>
      <c r="AK61" s="93"/>
    </row>
    <row r="62" spans="1:37" x14ac:dyDescent="0.2">
      <c r="Z62" s="93"/>
      <c r="AA62" s="93"/>
      <c r="AB62" s="93"/>
      <c r="AC62" s="93"/>
      <c r="AD62" s="93"/>
      <c r="AE62" s="93"/>
      <c r="AF62" s="93"/>
      <c r="AG62" s="93"/>
      <c r="AH62" s="93"/>
      <c r="AI62" s="93"/>
      <c r="AJ62" s="93"/>
      <c r="AK62" s="93"/>
    </row>
    <row r="63" spans="1:37" x14ac:dyDescent="0.2">
      <c r="Z63" s="93"/>
      <c r="AA63" s="93"/>
      <c r="AB63" s="93"/>
      <c r="AC63" s="93"/>
      <c r="AD63" s="93"/>
      <c r="AE63" s="93"/>
      <c r="AF63" s="93"/>
      <c r="AG63" s="93"/>
      <c r="AH63" s="93"/>
      <c r="AI63" s="93"/>
      <c r="AJ63" s="93"/>
      <c r="AK63" s="93"/>
    </row>
    <row r="64" spans="1:37" ht="15.75" customHeight="1" x14ac:dyDescent="0.2">
      <c r="L64" s="16"/>
      <c r="Z64" s="93"/>
      <c r="AA64" s="93"/>
      <c r="AB64" s="93"/>
      <c r="AC64" s="93"/>
      <c r="AD64" s="93"/>
      <c r="AE64" s="93"/>
      <c r="AF64" s="93"/>
      <c r="AG64" s="93"/>
      <c r="AH64" s="93"/>
      <c r="AI64" s="93"/>
      <c r="AJ64" s="93"/>
      <c r="AK64" s="93"/>
    </row>
    <row r="65" spans="26:37" ht="15.75" customHeight="1" x14ac:dyDescent="0.2">
      <c r="Z65" s="93"/>
      <c r="AA65" s="93"/>
      <c r="AB65" s="93"/>
      <c r="AC65" s="93"/>
      <c r="AD65" s="93"/>
      <c r="AE65" s="93"/>
      <c r="AF65" s="93"/>
      <c r="AG65" s="93"/>
      <c r="AH65" s="93"/>
      <c r="AI65" s="93"/>
      <c r="AJ65" s="93"/>
      <c r="AK65" s="93"/>
    </row>
    <row r="66" spans="26:37" ht="12.75" customHeight="1" x14ac:dyDescent="0.2">
      <c r="Z66" s="93"/>
      <c r="AA66" s="93"/>
      <c r="AB66" s="93"/>
      <c r="AC66" s="93"/>
      <c r="AD66" s="93"/>
      <c r="AE66" s="93"/>
      <c r="AF66" s="93"/>
      <c r="AG66" s="93"/>
      <c r="AH66" s="93"/>
      <c r="AI66" s="93"/>
      <c r="AJ66" s="93"/>
      <c r="AK66" s="93"/>
    </row>
    <row r="67" spans="26:37" ht="12.75" customHeight="1" x14ac:dyDescent="0.2">
      <c r="Z67" s="93"/>
      <c r="AA67" s="93"/>
      <c r="AB67" s="93"/>
      <c r="AC67" s="93"/>
      <c r="AD67" s="93"/>
      <c r="AE67" s="93"/>
      <c r="AF67" s="93"/>
      <c r="AG67" s="93"/>
      <c r="AH67" s="93"/>
      <c r="AI67" s="93"/>
      <c r="AJ67" s="93"/>
      <c r="AK67" s="93"/>
    </row>
    <row r="68" spans="26:37" ht="12.75" customHeight="1" x14ac:dyDescent="0.2">
      <c r="Z68" s="93"/>
      <c r="AA68" s="93"/>
      <c r="AB68" s="93"/>
      <c r="AC68" s="93"/>
      <c r="AD68" s="93"/>
      <c r="AE68" s="93"/>
      <c r="AF68" s="93"/>
      <c r="AG68" s="93"/>
      <c r="AH68" s="93"/>
      <c r="AI68" s="93"/>
      <c r="AJ68" s="93"/>
      <c r="AK68" s="93"/>
    </row>
    <row r="69" spans="26:37" ht="12.75" customHeight="1" x14ac:dyDescent="0.2">
      <c r="Z69" s="93"/>
      <c r="AA69" s="93"/>
      <c r="AB69" s="93"/>
      <c r="AC69" s="93"/>
      <c r="AD69" s="93"/>
      <c r="AE69" s="93"/>
      <c r="AF69" s="93"/>
      <c r="AG69" s="93"/>
      <c r="AH69" s="93"/>
      <c r="AI69" s="93"/>
      <c r="AJ69" s="93"/>
      <c r="AK69" s="93"/>
    </row>
    <row r="70" spans="26:37" x14ac:dyDescent="0.2">
      <c r="Z70" s="93"/>
      <c r="AA70" s="93"/>
      <c r="AB70" s="93"/>
      <c r="AC70" s="93"/>
      <c r="AD70" s="93"/>
      <c r="AE70" s="93"/>
      <c r="AF70" s="93"/>
      <c r="AG70" s="93"/>
      <c r="AH70" s="93"/>
      <c r="AI70" s="93"/>
      <c r="AJ70" s="93"/>
      <c r="AK70" s="93"/>
    </row>
    <row r="71" spans="26:37" ht="28.35" customHeight="1" x14ac:dyDescent="0.2">
      <c r="Z71" s="93"/>
      <c r="AA71" s="93"/>
      <c r="AB71" s="93"/>
      <c r="AC71" s="93"/>
      <c r="AD71" s="93"/>
      <c r="AE71" s="93"/>
      <c r="AF71" s="93"/>
      <c r="AG71" s="93"/>
      <c r="AH71" s="93"/>
      <c r="AI71" s="93"/>
      <c r="AJ71" s="93"/>
      <c r="AK71" s="93"/>
    </row>
    <row r="72" spans="26:37" ht="28.35" customHeight="1" x14ac:dyDescent="0.2">
      <c r="Z72" s="93"/>
      <c r="AA72" s="93"/>
      <c r="AB72" s="93"/>
      <c r="AC72" s="93"/>
      <c r="AD72" s="93"/>
      <c r="AE72" s="93"/>
      <c r="AF72" s="93"/>
      <c r="AG72" s="93"/>
      <c r="AH72" s="93"/>
      <c r="AI72" s="93"/>
      <c r="AJ72" s="93"/>
      <c r="AK72" s="93"/>
    </row>
    <row r="73" spans="26:37" ht="28.35" customHeight="1" x14ac:dyDescent="0.2">
      <c r="Z73" s="93"/>
    </row>
    <row r="74" spans="26:37" ht="28.35" customHeight="1" x14ac:dyDescent="0.2">
      <c r="Z74" s="93"/>
    </row>
    <row r="75" spans="26:37" ht="28.35" customHeight="1" x14ac:dyDescent="0.2">
      <c r="Z75" s="93"/>
    </row>
    <row r="76" spans="26:37" ht="28.35" customHeight="1" x14ac:dyDescent="0.2">
      <c r="Z76" s="93"/>
    </row>
    <row r="77" spans="26:37" ht="28.35" customHeight="1" x14ac:dyDescent="0.2"/>
    <row r="78" spans="26:37" ht="12.75" customHeight="1" x14ac:dyDescent="0.2"/>
    <row r="79" spans="26:37" ht="12.75" customHeight="1" x14ac:dyDescent="0.2"/>
    <row r="80" spans="26:37" ht="15.75" customHeight="1" x14ac:dyDescent="0.2"/>
    <row r="81" ht="12.75" customHeight="1" x14ac:dyDescent="0.2"/>
    <row r="82" ht="15.75" customHeight="1" x14ac:dyDescent="0.2"/>
    <row r="83" ht="12.75" customHeight="1" x14ac:dyDescent="0.2"/>
    <row r="84" ht="12.75" customHeight="1" x14ac:dyDescent="0.2"/>
    <row r="112" spans="13:25" ht="15.75" x14ac:dyDescent="0.25">
      <c r="M112" s="81"/>
      <c r="N112" s="81"/>
      <c r="O112" s="81"/>
      <c r="P112" s="81"/>
      <c r="Q112" s="81"/>
      <c r="R112" s="81"/>
      <c r="S112" s="81"/>
      <c r="T112" s="81"/>
      <c r="U112" s="81"/>
      <c r="V112" s="81"/>
      <c r="W112" s="81"/>
      <c r="X112" s="81"/>
      <c r="Y112" s="81"/>
    </row>
    <row r="113" spans="13:25" x14ac:dyDescent="0.2">
      <c r="M113" s="82"/>
      <c r="N113" s="82"/>
      <c r="O113" s="82"/>
      <c r="P113" s="82"/>
      <c r="Q113" s="82"/>
      <c r="R113" s="82"/>
      <c r="S113" s="82"/>
      <c r="T113" s="82"/>
      <c r="U113" s="82"/>
      <c r="V113" s="82"/>
      <c r="W113" s="82"/>
      <c r="X113" s="82"/>
      <c r="Y113" s="82"/>
    </row>
    <row r="115" spans="13:25" x14ac:dyDescent="0.2">
      <c r="M115" s="93"/>
    </row>
    <row r="116" spans="13:25" x14ac:dyDescent="0.2">
      <c r="M116" s="93"/>
    </row>
    <row r="117" spans="13:25" x14ac:dyDescent="0.2">
      <c r="M117" s="93"/>
    </row>
    <row r="118" spans="13:25" x14ac:dyDescent="0.2">
      <c r="M118" s="93"/>
    </row>
    <row r="119" spans="13:25" x14ac:dyDescent="0.2">
      <c r="M119" s="93"/>
    </row>
    <row r="120" spans="13:25" x14ac:dyDescent="0.2">
      <c r="M120" s="93"/>
    </row>
    <row r="121" spans="13:25" x14ac:dyDescent="0.2">
      <c r="M121" s="93"/>
    </row>
    <row r="122" spans="13:25" x14ac:dyDescent="0.2">
      <c r="M122" s="26"/>
    </row>
    <row r="123" spans="13:25" x14ac:dyDescent="0.2">
      <c r="M123" s="26"/>
    </row>
    <row r="130" spans="13:25" x14ac:dyDescent="0.2">
      <c r="M130" s="93"/>
      <c r="N130" s="93"/>
      <c r="O130" s="93"/>
      <c r="P130" s="93"/>
      <c r="Q130" s="93"/>
      <c r="R130" s="93"/>
      <c r="S130" s="93"/>
      <c r="T130" s="93"/>
      <c r="U130" s="93"/>
      <c r="V130" s="93"/>
      <c r="W130" s="93"/>
      <c r="X130" s="93"/>
      <c r="Y130" s="93"/>
    </row>
    <row r="131" spans="13:25" ht="15.75" x14ac:dyDescent="0.25">
      <c r="M131" s="81"/>
      <c r="N131" s="81"/>
      <c r="O131" s="81"/>
      <c r="P131" s="81"/>
      <c r="Q131" s="81"/>
      <c r="R131" s="81"/>
      <c r="S131" s="81"/>
      <c r="T131" s="81"/>
      <c r="U131" s="81"/>
      <c r="V131" s="81"/>
      <c r="W131" s="81"/>
      <c r="X131" s="81"/>
      <c r="Y131" s="81"/>
    </row>
    <row r="132" spans="13:25" x14ac:dyDescent="0.2">
      <c r="M132" s="82"/>
      <c r="N132" s="82"/>
      <c r="O132" s="82"/>
      <c r="P132" s="82"/>
      <c r="Q132" s="82"/>
      <c r="R132" s="82"/>
      <c r="S132" s="82"/>
      <c r="T132" s="82"/>
      <c r="U132" s="82"/>
      <c r="V132" s="82"/>
      <c r="W132" s="82"/>
      <c r="X132" s="82"/>
      <c r="Y132" s="82"/>
    </row>
    <row r="137" spans="13:25" x14ac:dyDescent="0.2">
      <c r="M137" s="93"/>
      <c r="N137" s="93"/>
      <c r="O137" s="93"/>
      <c r="P137" s="93"/>
      <c r="Q137" s="93"/>
      <c r="R137" s="93"/>
      <c r="S137" s="93"/>
      <c r="T137" s="93"/>
      <c r="U137" s="93"/>
      <c r="V137" s="93"/>
      <c r="W137" s="93"/>
      <c r="X137" s="93"/>
      <c r="Y137" s="93"/>
    </row>
    <row r="138" spans="13:25" x14ac:dyDescent="0.2">
      <c r="M138" s="93"/>
      <c r="N138" s="93"/>
      <c r="O138" s="93"/>
      <c r="P138" s="93"/>
      <c r="Q138" s="93"/>
      <c r="R138" s="93"/>
      <c r="S138" s="93"/>
      <c r="T138" s="93"/>
      <c r="U138" s="93"/>
      <c r="V138" s="93"/>
      <c r="W138" s="93"/>
      <c r="X138" s="93"/>
      <c r="Y138" s="93"/>
    </row>
    <row r="139" spans="13:25" x14ac:dyDescent="0.2">
      <c r="M139" s="93"/>
      <c r="N139" s="93"/>
      <c r="O139" s="93"/>
      <c r="P139" s="93"/>
      <c r="Q139" s="93"/>
      <c r="R139" s="93"/>
      <c r="S139" s="93"/>
      <c r="T139" s="93"/>
      <c r="U139" s="93"/>
      <c r="V139" s="93"/>
      <c r="W139" s="93"/>
      <c r="X139" s="93"/>
      <c r="Y139" s="93"/>
    </row>
    <row r="140" spans="13:25" x14ac:dyDescent="0.2">
      <c r="M140" s="93"/>
      <c r="N140" s="93"/>
      <c r="O140" s="93"/>
      <c r="P140" s="93"/>
      <c r="Q140" s="93"/>
      <c r="R140" s="93"/>
      <c r="S140" s="93"/>
      <c r="T140" s="93"/>
      <c r="U140" s="93"/>
      <c r="V140" s="93"/>
      <c r="W140" s="93"/>
      <c r="X140" s="93"/>
      <c r="Y140" s="93"/>
    </row>
    <row r="155" spans="13:22" ht="15.75" x14ac:dyDescent="0.2">
      <c r="M155" s="184"/>
      <c r="N155" s="20"/>
      <c r="O155" s="184"/>
    </row>
    <row r="156" spans="13:22" ht="15.75" x14ac:dyDescent="0.2">
      <c r="M156" s="184"/>
      <c r="N156" s="20"/>
      <c r="O156" s="184"/>
    </row>
    <row r="159" spans="13:22" ht="15.75" x14ac:dyDescent="0.2">
      <c r="U159" s="184"/>
      <c r="V159" s="20"/>
    </row>
    <row r="160" spans="13:22" ht="15.75" x14ac:dyDescent="0.2">
      <c r="U160" s="184"/>
      <c r="V160" s="20"/>
    </row>
  </sheetData>
  <mergeCells count="118">
    <mergeCell ref="A1:L1"/>
    <mergeCell ref="A2:I2"/>
    <mergeCell ref="B9:B10"/>
    <mergeCell ref="L9:L10"/>
    <mergeCell ref="K9:K10"/>
    <mergeCell ref="H9:H10"/>
    <mergeCell ref="I9:I10"/>
    <mergeCell ref="J9:J10"/>
    <mergeCell ref="A9:A10"/>
    <mergeCell ref="C9:C10"/>
    <mergeCell ref="D9:D10"/>
    <mergeCell ref="E9:E10"/>
    <mergeCell ref="F9:F10"/>
    <mergeCell ref="G9:G10"/>
    <mergeCell ref="C8:D8"/>
    <mergeCell ref="E8:F8"/>
    <mergeCell ref="G8:H8"/>
    <mergeCell ref="I8:J8"/>
    <mergeCell ref="K8:L8"/>
    <mergeCell ref="AS25:AT25"/>
    <mergeCell ref="AL7:AL8"/>
    <mergeCell ref="AK7:AK8"/>
    <mergeCell ref="AM26:AM27"/>
    <mergeCell ref="AN26:AN27"/>
    <mergeCell ref="AS26:AS27"/>
    <mergeCell ref="AV26:AV27"/>
    <mergeCell ref="AU26:AU27"/>
    <mergeCell ref="AT26:AT27"/>
    <mergeCell ref="AR26:AR27"/>
    <mergeCell ref="AP26:AP27"/>
    <mergeCell ref="AO26:AO27"/>
    <mergeCell ref="AQ26:AQ27"/>
    <mergeCell ref="AR11:AR12"/>
    <mergeCell ref="AN11:AN12"/>
    <mergeCell ref="AK6:AL6"/>
    <mergeCell ref="AU25:AV25"/>
    <mergeCell ref="M1:X1"/>
    <mergeCell ref="M2:U2"/>
    <mergeCell ref="AH7:AH8"/>
    <mergeCell ref="N20:N21"/>
    <mergeCell ref="AI6:AJ6"/>
    <mergeCell ref="W20:W21"/>
    <mergeCell ref="U20:U21"/>
    <mergeCell ref="V12:V13"/>
    <mergeCell ref="X20:X21"/>
    <mergeCell ref="AS11:AS12"/>
    <mergeCell ref="AT11:AT12"/>
    <mergeCell ref="AU11:AU12"/>
    <mergeCell ref="AV11:AV12"/>
    <mergeCell ref="W11:X11"/>
    <mergeCell ref="W19:X19"/>
    <mergeCell ref="AS10:AT10"/>
    <mergeCell ref="AU10:AV10"/>
    <mergeCell ref="AO25:AP25"/>
    <mergeCell ref="AQ25:AR25"/>
    <mergeCell ref="Z1:AK1"/>
    <mergeCell ref="Z2:AH2"/>
    <mergeCell ref="AM1:AX1"/>
    <mergeCell ref="AM2:AU2"/>
    <mergeCell ref="O11:P11"/>
    <mergeCell ref="Q11:R11"/>
    <mergeCell ref="S11:T11"/>
    <mergeCell ref="U11:V11"/>
    <mergeCell ref="AI7:AI8"/>
    <mergeCell ref="C15:D15"/>
    <mergeCell ref="E15:F15"/>
    <mergeCell ref="G15:H15"/>
    <mergeCell ref="I15:J15"/>
    <mergeCell ref="AC6:AD6"/>
    <mergeCell ref="AE6:AF6"/>
    <mergeCell ref="AG6:AH6"/>
    <mergeCell ref="AC7:AC8"/>
    <mergeCell ref="AA7:AA8"/>
    <mergeCell ref="AB7:AB8"/>
    <mergeCell ref="AO10:AP10"/>
    <mergeCell ref="AQ10:AR10"/>
    <mergeCell ref="AM11:AM12"/>
    <mergeCell ref="X12:X13"/>
    <mergeCell ref="W12:W13"/>
    <mergeCell ref="AO11:AO12"/>
    <mergeCell ref="AP11:AP12"/>
    <mergeCell ref="AQ11:AQ12"/>
    <mergeCell ref="A16:A17"/>
    <mergeCell ref="AJ7:AJ8"/>
    <mergeCell ref="B16:B17"/>
    <mergeCell ref="C16:C17"/>
    <mergeCell ref="D16:D17"/>
    <mergeCell ref="O20:O21"/>
    <mergeCell ref="R20:R21"/>
    <mergeCell ref="Q20:Q21"/>
    <mergeCell ref="P20:P21"/>
    <mergeCell ref="O19:P19"/>
    <mergeCell ref="Q19:R19"/>
    <mergeCell ref="S19:T19"/>
    <mergeCell ref="U19:V19"/>
    <mergeCell ref="AG7:AG8"/>
    <mergeCell ref="AF7:AF8"/>
    <mergeCell ref="AE7:AE8"/>
    <mergeCell ref="V20:V21"/>
    <mergeCell ref="G16:G17"/>
    <mergeCell ref="T20:T21"/>
    <mergeCell ref="AD7:AD8"/>
    <mergeCell ref="H16:H17"/>
    <mergeCell ref="I16:I17"/>
    <mergeCell ref="J16:J17"/>
    <mergeCell ref="S20:S21"/>
    <mergeCell ref="E16:E17"/>
    <mergeCell ref="F16:F17"/>
    <mergeCell ref="M20:M21"/>
    <mergeCell ref="M12:M13"/>
    <mergeCell ref="S12:S13"/>
    <mergeCell ref="T12:T13"/>
    <mergeCell ref="U12:U13"/>
    <mergeCell ref="P12:P13"/>
    <mergeCell ref="Q12:Q13"/>
    <mergeCell ref="R12:R13"/>
    <mergeCell ref="N12:N13"/>
    <mergeCell ref="O12:O13"/>
  </mergeCells>
  <phoneticPr fontId="6" type="noConversion"/>
  <printOptions horizontalCentered="1"/>
  <pageMargins left="0.78740157499999996" right="0.78740157499999996" top="0.98425196850393704" bottom="0.98425196850393704" header="0" footer="0"/>
  <pageSetup paperSize="9" scale="70" orientation="portrait" horizontalDpi="300" verticalDpi="300" r:id="rId1"/>
  <headerFooter>
    <oddHeader>&amp;L&amp;G&amp;R
RELATÓRIO DE AUTO-AVALIAÇÃO DA ESCOLA
&amp;8ANO LECTIVO 2008/09&amp;10
____________________________________________________________________________________________</oddHeader>
  </headerFooter>
  <colBreaks count="2" manualBreakCount="2">
    <brk id="12" max="37" man="1"/>
    <brk id="25"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59"/>
  <sheetViews>
    <sheetView view="pageLayout" zoomScaleNormal="100" workbookViewId="0">
      <selection activeCell="A10" sqref="A10"/>
    </sheetView>
  </sheetViews>
  <sheetFormatPr defaultRowHeight="12.75" x14ac:dyDescent="0.2"/>
  <cols>
    <col min="2" max="2" width="11.140625" customWidth="1"/>
    <col min="3" max="3" width="11.28515625" customWidth="1"/>
    <col min="4" max="5" width="11.5703125" customWidth="1"/>
    <col min="6" max="6" width="10.28515625" customWidth="1"/>
    <col min="7" max="7" width="11.5703125" customWidth="1"/>
    <col min="8" max="8" width="11.42578125" customWidth="1"/>
    <col min="9" max="9" width="10.85546875" customWidth="1"/>
    <col min="10" max="10" width="11.28515625" customWidth="1"/>
  </cols>
  <sheetData>
    <row r="1" spans="1:12" ht="15.75" x14ac:dyDescent="0.2">
      <c r="A1" s="134" t="s">
        <v>202</v>
      </c>
      <c r="B1" s="93"/>
      <c r="C1" s="93"/>
      <c r="D1" s="93"/>
      <c r="E1" s="93"/>
      <c r="F1" s="93"/>
      <c r="G1" s="93"/>
      <c r="H1" s="93"/>
      <c r="I1" s="93"/>
      <c r="J1" s="93"/>
      <c r="K1" s="93"/>
    </row>
    <row r="2" spans="1:12" ht="28.35" customHeight="1" x14ac:dyDescent="0.2">
      <c r="A2" s="100" t="s">
        <v>203</v>
      </c>
      <c r="B2" s="128"/>
      <c r="C2" s="93"/>
      <c r="D2" s="93"/>
      <c r="E2" s="93"/>
      <c r="F2" s="93"/>
      <c r="G2" s="93"/>
      <c r="H2" s="93"/>
      <c r="I2" s="93"/>
      <c r="J2" s="93"/>
      <c r="K2" s="93"/>
    </row>
    <row r="3" spans="1:12" x14ac:dyDescent="0.2">
      <c r="A3" s="93"/>
      <c r="B3" s="93"/>
      <c r="C3" s="93"/>
      <c r="D3" s="93"/>
      <c r="E3" s="93"/>
      <c r="F3" s="93"/>
      <c r="G3" s="93"/>
      <c r="H3" s="93"/>
      <c r="I3" s="93"/>
      <c r="J3" s="93"/>
      <c r="K3" s="93"/>
    </row>
    <row r="4" spans="1:12" ht="28.35" customHeight="1" x14ac:dyDescent="0.2">
      <c r="A4" s="93"/>
      <c r="B4" s="93"/>
      <c r="C4" s="93"/>
      <c r="D4" s="93"/>
      <c r="E4" s="93"/>
      <c r="F4" s="93"/>
      <c r="G4" s="93"/>
      <c r="H4" s="93"/>
      <c r="I4" s="93"/>
      <c r="J4" s="93"/>
      <c r="K4" s="93"/>
    </row>
    <row r="5" spans="1:12" ht="28.35" customHeight="1" x14ac:dyDescent="0.2">
      <c r="A5" s="93"/>
      <c r="B5" s="93"/>
      <c r="C5" s="93"/>
      <c r="D5" s="93"/>
      <c r="E5" s="93"/>
      <c r="F5" s="93"/>
      <c r="G5" s="93"/>
      <c r="H5" s="93"/>
      <c r="I5" s="93"/>
      <c r="J5" s="93"/>
      <c r="K5" s="93"/>
    </row>
    <row r="6" spans="1:12" ht="28.35" customHeight="1" x14ac:dyDescent="0.25">
      <c r="A6" s="93"/>
      <c r="B6" s="93"/>
      <c r="C6" s="93"/>
      <c r="D6" s="93"/>
      <c r="E6" s="93"/>
      <c r="F6" s="93"/>
      <c r="G6" s="93"/>
      <c r="H6" s="93"/>
      <c r="I6" s="93"/>
      <c r="J6" s="93"/>
      <c r="K6" s="93"/>
      <c r="L6" s="81"/>
    </row>
    <row r="7" spans="1:12" ht="28.35" customHeight="1" x14ac:dyDescent="0.2">
      <c r="A7" s="93"/>
      <c r="B7" s="93"/>
      <c r="C7" s="93"/>
      <c r="D7" s="93"/>
      <c r="E7" s="93"/>
      <c r="F7" s="93"/>
      <c r="G7" s="93"/>
      <c r="H7" s="93"/>
      <c r="I7" s="93"/>
      <c r="J7" s="93"/>
      <c r="K7" s="93"/>
      <c r="L7" s="82"/>
    </row>
    <row r="8" spans="1:12" ht="28.35" customHeight="1" x14ac:dyDescent="0.2">
      <c r="C8" s="93"/>
      <c r="D8" s="93"/>
      <c r="E8" s="93"/>
      <c r="F8" s="93"/>
      <c r="G8" s="93"/>
      <c r="H8" s="93"/>
      <c r="I8" s="93"/>
      <c r="J8" s="93"/>
      <c r="K8" s="93"/>
    </row>
    <row r="9" spans="1:12" ht="28.35" customHeight="1" thickBot="1" x14ac:dyDescent="0.25">
      <c r="A9" s="134" t="s">
        <v>39</v>
      </c>
      <c r="B9" s="93"/>
      <c r="C9" s="135"/>
      <c r="D9" s="135"/>
      <c r="E9" s="135"/>
      <c r="F9" s="135"/>
      <c r="G9" s="135"/>
      <c r="H9" s="135"/>
      <c r="I9" s="135"/>
      <c r="J9" s="135"/>
      <c r="K9" s="93"/>
      <c r="L9" s="93"/>
    </row>
    <row r="10" spans="1:12" ht="28.35" customHeight="1" thickBot="1" x14ac:dyDescent="0.25">
      <c r="A10" s="135"/>
      <c r="B10" s="102" t="s">
        <v>16</v>
      </c>
      <c r="C10" s="102" t="s">
        <v>17</v>
      </c>
      <c r="D10" s="102" t="s">
        <v>18</v>
      </c>
      <c r="E10" s="102" t="s">
        <v>19</v>
      </c>
      <c r="F10" s="102" t="s">
        <v>20</v>
      </c>
      <c r="G10" s="102" t="s">
        <v>21</v>
      </c>
      <c r="H10" s="102" t="s">
        <v>22</v>
      </c>
      <c r="I10" s="102" t="s">
        <v>23</v>
      </c>
      <c r="J10" s="102" t="s">
        <v>24</v>
      </c>
      <c r="K10" s="93"/>
      <c r="L10" s="93"/>
    </row>
    <row r="11" spans="1:12" ht="28.35" customHeight="1" x14ac:dyDescent="0.2">
      <c r="A11" s="211" t="s">
        <v>2</v>
      </c>
      <c r="B11" s="211" t="s">
        <v>172</v>
      </c>
      <c r="C11" s="211" t="s">
        <v>172</v>
      </c>
      <c r="D11" s="211" t="s">
        <v>172</v>
      </c>
      <c r="E11" s="211" t="s">
        <v>172</v>
      </c>
      <c r="F11" s="211" t="s">
        <v>172</v>
      </c>
      <c r="G11" s="211" t="s">
        <v>172</v>
      </c>
      <c r="H11" s="211" t="s">
        <v>172</v>
      </c>
      <c r="I11" s="211" t="s">
        <v>172</v>
      </c>
      <c r="J11" s="211" t="s">
        <v>172</v>
      </c>
      <c r="K11" s="93"/>
      <c r="L11" s="93"/>
    </row>
    <row r="12" spans="1:12" ht="15" customHeight="1" thickBot="1" x14ac:dyDescent="0.25">
      <c r="A12" s="212"/>
      <c r="B12" s="212"/>
      <c r="C12" s="212"/>
      <c r="D12" s="212"/>
      <c r="E12" s="212"/>
      <c r="F12" s="212"/>
      <c r="G12" s="212"/>
      <c r="H12" s="212"/>
      <c r="I12" s="212"/>
      <c r="J12" s="212"/>
      <c r="K12" s="93"/>
      <c r="L12" s="93"/>
    </row>
    <row r="13" spans="1:12" ht="28.35" customHeight="1" thickBot="1" x14ac:dyDescent="0.25">
      <c r="A13" s="29" t="s">
        <v>5</v>
      </c>
      <c r="B13" s="69">
        <f>(6+2*(6+7+1+9+5)+3*(6+7+12+8+15+11)+4*(4+3+1+4+3)+5*(8+6+5+3))/'2'!C20</f>
        <v>3.0751879699248121</v>
      </c>
      <c r="C13" s="69">
        <f>(2+2*(5+6+9+8+8)+3*(6+7+12+5+15+5)+4*(7+9+2+8+1+4)+5*(1+3+5+5))/'2'!C20</f>
        <v>3.1428571428571428</v>
      </c>
      <c r="D13" s="69">
        <f>(2+2*(3+4+9+6+4)+3*(10+9+12+6+15+7)+4*(4+6+3+5+3+5)+5*(2+3+2+7+6))/'2'!C20</f>
        <v>3.2706766917293235</v>
      </c>
      <c r="E13" s="69">
        <f>(3+2*(4+6+17+1+11+6)+3*(8+9+13+7+11+8)+4*(5+3+4+5+1+5)+5*(2+4+1+5+1+3))/'2'!C20</f>
        <v>3.255639097744361</v>
      </c>
      <c r="F13" s="69">
        <f>(2+2*(2+4+10+9+4)+3*(12+10+11+9+13+12)+4*(3+4+5+5+2+4)+5*(2+4+4+2))/'2'!C20</f>
        <v>3.1052631578947367</v>
      </c>
      <c r="G13" s="69">
        <f>(2+2*(2+2+5+5+7)+3*(8+8+12+9+15+9)+4*(6+8+8+4+4+4)+5*(3+3+1+5+3))/'2'!C20</f>
        <v>3.2932330827067671</v>
      </c>
      <c r="H13" s="69">
        <f>(2+2*(3+2+6+1+7+5)+3*(8+9+12+7+11+8)+4*(4+2+5+3+4+3)+5*(4+9+3+7+2+6))/'2'!C20</f>
        <v>3.4135338345864663</v>
      </c>
      <c r="I13" s="69">
        <f>(1+2*(1+1+1+1+8)+3*(13+8+14+8+12+15)+4*(2+12+11+6+4+8)+5*(3+1+3))/'2'!C20</f>
        <v>3.3233082706766917</v>
      </c>
      <c r="J13" s="69">
        <f>(2*2+3*(1+6+3+2+7+2)+4*(4+7+3+1+2)+5*(1+1+2))/(5+7+11+7+9+5)</f>
        <v>3.5227272727272729</v>
      </c>
      <c r="K13" s="93"/>
    </row>
    <row r="14" spans="1:12" ht="28.35" customHeight="1" thickBot="1" x14ac:dyDescent="0.25">
      <c r="A14" s="29" t="s">
        <v>6</v>
      </c>
      <c r="B14" s="69">
        <f>(7+2*(4+7+6+4+4)+3*(9+7+12+10+12+9)+4*(8+3+2+2+3+5)+5*(2+1+1+2+5+1))/'2'!C21</f>
        <v>3.0634920634920637</v>
      </c>
      <c r="C14" s="69">
        <f>(6+2*(6+9+6+2+2+9)+3*(4+5+10+12+16+4)+4*(10+4+4+2+5)+5*(3+1+1+4+1))/'2'!C21</f>
        <v>2.9920634920634921</v>
      </c>
      <c r="D14" s="69">
        <f>(6+2*(3+5+5+1+2+5)+3*(6+9+10+13+11+8)+4*(7+4+3+4+6+5)+5*(7+1+3+1+1))/'2'!C21</f>
        <v>3.1746031746031744</v>
      </c>
      <c r="E14" s="69">
        <f>(8+2*(4+8+8+6+8+4)+3*(10+7+11+8+7+9)+4*(6+1+1+4+4+3)+5*(3+1+1+1+3))/'2'!C21</f>
        <v>2.8650793650793651</v>
      </c>
      <c r="F14" s="69">
        <f>(7+2*(3+6+1+1+2)+3*(10+15+8+13+12)+4*(12+2+4+5+5+3)+5*(3+5+1+4+2+2))/'2'!C21</f>
        <v>3.3015873015873014</v>
      </c>
      <c r="G14" s="69">
        <f>(3+2*(3+1+3+2+1)+3*(7+12+12+11+14+7)+4*(9+5+3+4+3+7)+5*(4+1+4+3+3+4))/'2'!C21</f>
        <v>3.4206349206349205</v>
      </c>
      <c r="H14" s="69">
        <f>(6+2*(1+2+4+4+6)+3*(10+10+13+8+12+7)+4*(7+5+1+2+5+4)+5*(5+2+3+4+3+2))/'2'!C21</f>
        <v>3.2619047619047619</v>
      </c>
      <c r="I14" s="69">
        <f>(6+2*(1+3+1)+3*(7+10+9+10+15+11)+4*(15+6+9+5+5+5)+5*(2+3+3))/'2'!C21</f>
        <v>3.3492063492063493</v>
      </c>
      <c r="J14" s="69">
        <f>(3*(3+5+3+2+6+5)+4*(8+1+3+2+4+1)+5*(2+1+3))/(13+6+7+7+10+6)</f>
        <v>3.6326530612244898</v>
      </c>
      <c r="K14" s="93"/>
    </row>
    <row r="15" spans="1:12" ht="28.35" customHeight="1" x14ac:dyDescent="0.2">
      <c r="A15" s="219" t="s">
        <v>174</v>
      </c>
      <c r="B15" s="221">
        <f t="shared" ref="B15:J15" si="0">AVERAGE(B13,B14)</f>
        <v>3.0693400167084377</v>
      </c>
      <c r="C15" s="221">
        <f t="shared" si="0"/>
        <v>3.0674603174603172</v>
      </c>
      <c r="D15" s="221">
        <f t="shared" si="0"/>
        <v>3.2226399331662492</v>
      </c>
      <c r="E15" s="221">
        <f t="shared" si="0"/>
        <v>3.0603592314118631</v>
      </c>
      <c r="F15" s="221">
        <f t="shared" si="0"/>
        <v>3.2034252297410193</v>
      </c>
      <c r="G15" s="221">
        <f t="shared" si="0"/>
        <v>3.3569340016708438</v>
      </c>
      <c r="H15" s="221">
        <f t="shared" si="0"/>
        <v>3.3377192982456139</v>
      </c>
      <c r="I15" s="221">
        <f t="shared" si="0"/>
        <v>3.3362573099415203</v>
      </c>
      <c r="J15" s="221">
        <f t="shared" si="0"/>
        <v>3.5776901669758816</v>
      </c>
      <c r="K15" s="93"/>
    </row>
    <row r="16" spans="1:12" ht="33.75" customHeight="1" thickBot="1" x14ac:dyDescent="0.25">
      <c r="A16" s="220"/>
      <c r="B16" s="222"/>
      <c r="C16" s="222"/>
      <c r="D16" s="222"/>
      <c r="E16" s="222"/>
      <c r="F16" s="222"/>
      <c r="G16" s="222"/>
      <c r="H16" s="222"/>
      <c r="I16" s="222"/>
      <c r="J16" s="222"/>
      <c r="K16" s="93"/>
    </row>
    <row r="17" spans="1:11" x14ac:dyDescent="0.2">
      <c r="K17" s="93"/>
    </row>
    <row r="18" spans="1:11" x14ac:dyDescent="0.2">
      <c r="K18" s="93"/>
    </row>
    <row r="19" spans="1:11" ht="27" customHeight="1" x14ac:dyDescent="0.2">
      <c r="K19" s="93"/>
    </row>
    <row r="20" spans="1:11" ht="28.35" customHeight="1" x14ac:dyDescent="0.2">
      <c r="K20" s="93"/>
    </row>
    <row r="21" spans="1:11" ht="28.35" customHeight="1" x14ac:dyDescent="0.2">
      <c r="K21" s="93"/>
    </row>
    <row r="22" spans="1:11" x14ac:dyDescent="0.2">
      <c r="K22" s="93"/>
    </row>
    <row r="23" spans="1:11" x14ac:dyDescent="0.2">
      <c r="A23" s="93"/>
      <c r="B23" s="93"/>
      <c r="C23" s="93"/>
      <c r="D23" s="93"/>
      <c r="E23" s="93"/>
      <c r="F23" s="93"/>
      <c r="G23" s="93"/>
      <c r="H23" s="93"/>
      <c r="I23" s="93"/>
      <c r="J23" s="93"/>
      <c r="K23" s="93"/>
    </row>
    <row r="24" spans="1:11" ht="16.5" x14ac:dyDescent="0.2">
      <c r="A24" s="136"/>
      <c r="B24" s="136"/>
      <c r="C24" s="136"/>
      <c r="D24" s="136"/>
      <c r="E24" s="136"/>
      <c r="F24" s="136"/>
      <c r="G24" s="136"/>
      <c r="H24" s="136"/>
      <c r="I24" s="136"/>
      <c r="J24" s="136"/>
      <c r="K24" s="93"/>
    </row>
    <row r="25" spans="1:11" ht="16.5" x14ac:dyDescent="0.2">
      <c r="A25" s="136"/>
      <c r="B25" s="136"/>
      <c r="C25" s="136"/>
      <c r="D25" s="136"/>
      <c r="E25" s="136"/>
      <c r="F25" s="136"/>
      <c r="G25" s="136"/>
      <c r="H25" s="136"/>
      <c r="I25" s="136"/>
      <c r="J25" s="136"/>
      <c r="K25" s="93"/>
    </row>
    <row r="26" spans="1:11" x14ac:dyDescent="0.2">
      <c r="A26" s="93"/>
      <c r="B26" s="93"/>
      <c r="C26" s="93"/>
      <c r="D26" s="93"/>
      <c r="E26" s="93"/>
      <c r="F26" s="93"/>
      <c r="G26" s="93"/>
      <c r="H26" s="93"/>
      <c r="I26" s="93"/>
      <c r="J26" s="93"/>
      <c r="K26" s="93"/>
    </row>
    <row r="27" spans="1:11" x14ac:dyDescent="0.2">
      <c r="A27" s="93"/>
      <c r="B27" s="93"/>
      <c r="C27" s="93"/>
      <c r="D27" s="93"/>
      <c r="E27" s="93"/>
      <c r="F27" s="93"/>
      <c r="G27" s="93"/>
      <c r="H27" s="93"/>
      <c r="I27" s="93"/>
      <c r="J27" s="93"/>
      <c r="K27" s="93"/>
    </row>
    <row r="28" spans="1:11" x14ac:dyDescent="0.2">
      <c r="A28" s="93"/>
      <c r="B28" s="93"/>
      <c r="C28" s="93"/>
      <c r="D28" s="93"/>
      <c r="E28" s="93"/>
      <c r="F28" s="93"/>
      <c r="G28" s="93"/>
      <c r="H28" s="93"/>
      <c r="I28" s="93"/>
      <c r="J28" s="93"/>
      <c r="K28" s="93"/>
    </row>
    <row r="29" spans="1:11" x14ac:dyDescent="0.2">
      <c r="A29" s="93"/>
      <c r="B29" s="93"/>
      <c r="C29" s="93"/>
      <c r="D29" s="93"/>
      <c r="E29" s="93"/>
      <c r="F29" s="93"/>
      <c r="G29" s="93"/>
      <c r="H29" s="93"/>
      <c r="I29" s="93"/>
      <c r="J29" s="93"/>
      <c r="K29" s="93"/>
    </row>
    <row r="30" spans="1:11" x14ac:dyDescent="0.2">
      <c r="A30" s="93"/>
      <c r="B30" s="93"/>
      <c r="C30" s="93"/>
      <c r="D30" s="93"/>
      <c r="E30" s="93"/>
      <c r="F30" s="93"/>
      <c r="G30" s="93"/>
      <c r="H30" s="93"/>
      <c r="I30" s="93"/>
      <c r="J30" s="93"/>
      <c r="K30" s="93"/>
    </row>
    <row r="31" spans="1:11" x14ac:dyDescent="0.2">
      <c r="A31" s="93"/>
      <c r="B31" s="93"/>
      <c r="C31" s="93"/>
      <c r="D31" s="93"/>
      <c r="E31" s="93"/>
      <c r="F31" s="93"/>
      <c r="G31" s="93"/>
      <c r="H31" s="93"/>
      <c r="I31" s="93"/>
      <c r="J31" s="93"/>
      <c r="K31" s="93"/>
    </row>
    <row r="32" spans="1:11" x14ac:dyDescent="0.2">
      <c r="A32" s="93"/>
      <c r="B32" s="93"/>
      <c r="C32" s="93"/>
      <c r="D32" s="93"/>
      <c r="E32" s="93"/>
      <c r="F32" s="93"/>
      <c r="G32" s="93"/>
      <c r="H32" s="93"/>
      <c r="I32" s="93"/>
      <c r="J32" s="93"/>
      <c r="K32" s="93"/>
    </row>
    <row r="33" spans="1:11" x14ac:dyDescent="0.2">
      <c r="A33" s="93"/>
      <c r="B33" s="93"/>
      <c r="C33" s="93"/>
      <c r="D33" s="93"/>
      <c r="E33" s="93"/>
      <c r="F33" s="93"/>
      <c r="G33" s="93"/>
      <c r="H33" s="93"/>
      <c r="I33" s="93"/>
      <c r="J33" s="93"/>
      <c r="K33" s="93"/>
    </row>
    <row r="34" spans="1:11" x14ac:dyDescent="0.2">
      <c r="A34" s="93"/>
      <c r="B34" s="93"/>
      <c r="C34" s="93"/>
      <c r="D34" s="93"/>
      <c r="E34" s="93"/>
      <c r="F34" s="93"/>
      <c r="G34" s="93"/>
      <c r="H34" s="93"/>
      <c r="I34" s="93"/>
      <c r="J34" s="93"/>
      <c r="K34" s="93"/>
    </row>
    <row r="35" spans="1:11" x14ac:dyDescent="0.2">
      <c r="A35" s="93"/>
      <c r="B35" s="93"/>
      <c r="C35" s="93"/>
      <c r="D35" s="93"/>
      <c r="E35" s="93"/>
      <c r="F35" s="93"/>
      <c r="G35" s="93"/>
      <c r="H35" s="93"/>
      <c r="I35" s="93"/>
      <c r="J35" s="93"/>
      <c r="K35" s="93"/>
    </row>
    <row r="59" spans="11:11" x14ac:dyDescent="0.2">
      <c r="K59">
        <v>10</v>
      </c>
    </row>
  </sheetData>
  <mergeCells count="20">
    <mergeCell ref="J15:J16"/>
    <mergeCell ref="I11:I12"/>
    <mergeCell ref="J11:J12"/>
    <mergeCell ref="D11:D12"/>
    <mergeCell ref="E11:E12"/>
    <mergeCell ref="F11:F12"/>
    <mergeCell ref="G11:G12"/>
    <mergeCell ref="H11:H12"/>
    <mergeCell ref="D15:D16"/>
    <mergeCell ref="E15:E16"/>
    <mergeCell ref="F15:F16"/>
    <mergeCell ref="G15:G16"/>
    <mergeCell ref="H15:H16"/>
    <mergeCell ref="A15:A16"/>
    <mergeCell ref="A11:A12"/>
    <mergeCell ref="B11:B12"/>
    <mergeCell ref="C11:C12"/>
    <mergeCell ref="I15:I16"/>
    <mergeCell ref="B15:B16"/>
    <mergeCell ref="C15:C16"/>
  </mergeCells>
  <pageMargins left="0.78740157480314965" right="0.78740157480314965"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K110"/>
  <sheetViews>
    <sheetView view="pageLayout" zoomScaleNormal="100" workbookViewId="0">
      <selection activeCell="B108" sqref="B108"/>
    </sheetView>
  </sheetViews>
  <sheetFormatPr defaultRowHeight="12.75" x14ac:dyDescent="0.2"/>
  <cols>
    <col min="3" max="3" width="13.140625" customWidth="1"/>
    <col min="4" max="4" width="12.28515625" customWidth="1"/>
    <col min="5" max="5" width="11.5703125" customWidth="1"/>
    <col min="6" max="6" width="11.140625" customWidth="1"/>
    <col min="7" max="7" width="14.42578125" customWidth="1"/>
    <col min="8" max="8" width="10.28515625" customWidth="1"/>
  </cols>
  <sheetData>
    <row r="1" spans="1:1" ht="16.5" x14ac:dyDescent="0.25">
      <c r="A1" s="85" t="s">
        <v>225</v>
      </c>
    </row>
    <row r="2" spans="1:1" ht="16.5" x14ac:dyDescent="0.25">
      <c r="A2" s="86"/>
    </row>
    <row r="8" spans="1:1" ht="27" customHeight="1" x14ac:dyDescent="0.2"/>
    <row r="9" spans="1:1" s="93" customFormat="1" ht="28.35" customHeight="1" x14ac:dyDescent="0.2"/>
    <row r="10" spans="1:1" s="93" customFormat="1" ht="28.35" customHeight="1" x14ac:dyDescent="0.2"/>
    <row r="11" spans="1:1" s="93" customFormat="1" ht="28.35" customHeight="1" x14ac:dyDescent="0.2"/>
    <row r="17" spans="1:8" ht="15.75" x14ac:dyDescent="0.25">
      <c r="A17" s="3" t="s">
        <v>48</v>
      </c>
    </row>
    <row r="18" spans="1:8" ht="13.5" thickBot="1" x14ac:dyDescent="0.25"/>
    <row r="19" spans="1:8" ht="28.35" customHeight="1" x14ac:dyDescent="0.2">
      <c r="D19" s="225" t="s">
        <v>16</v>
      </c>
      <c r="E19" s="225" t="s">
        <v>185</v>
      </c>
      <c r="F19" s="225" t="s">
        <v>196</v>
      </c>
      <c r="G19" s="225" t="s">
        <v>38</v>
      </c>
    </row>
    <row r="20" spans="1:8" ht="13.5" thickBot="1" x14ac:dyDescent="0.25">
      <c r="D20" s="226"/>
      <c r="E20" s="226"/>
      <c r="F20" s="226"/>
      <c r="G20" s="226"/>
    </row>
    <row r="21" spans="1:8" ht="28.35" customHeight="1" x14ac:dyDescent="0.2">
      <c r="C21" s="211" t="s">
        <v>2</v>
      </c>
      <c r="D21" s="223" t="s">
        <v>172</v>
      </c>
      <c r="E21" s="223" t="s">
        <v>172</v>
      </c>
      <c r="F21" s="223" t="s">
        <v>172</v>
      </c>
      <c r="G21" s="223" t="s">
        <v>172</v>
      </c>
    </row>
    <row r="22" spans="1:8" ht="13.5" thickBot="1" x14ac:dyDescent="0.25">
      <c r="C22" s="212"/>
      <c r="D22" s="224"/>
      <c r="E22" s="224"/>
      <c r="F22" s="224"/>
      <c r="G22" s="224"/>
    </row>
    <row r="23" spans="1:8" ht="28.35" customHeight="1" thickBot="1" x14ac:dyDescent="0.25">
      <c r="A23" s="93"/>
      <c r="B23" s="93"/>
      <c r="C23" s="29" t="s">
        <v>7</v>
      </c>
      <c r="D23" s="69">
        <f>(3+2*(9+7+7+5+8+7+6+11)+3*(9+9+8+7+13+12+8+3)+4*(2+4+3+3+3+2+3)+5*(1+1+3+1+2+1+1))/'2'!C22</f>
        <v>2.8395061728395063</v>
      </c>
      <c r="E23" s="69">
        <f>(1+1+2+2*(7+5+7+8+9+10+12+8)+3*(8+11+10+6+12+10+3+6)+4*(1+3+3+2+2)+5*(2+4+1+4+2+2))/'2'!C22</f>
        <v>2.7962962962962963</v>
      </c>
      <c r="F23" s="69">
        <f>(4+3+2+2*(5+7+6+9+3+8)+3*(8+6+10+5+13+10)+4*(1+1+4+2+4)+5*(1+3+2+5+4))/('2'!C22-36)</f>
        <v>2.8888888888888888</v>
      </c>
      <c r="G23" s="69">
        <f>(1+2+3*(13)+4*(15)+5*(5))/36</f>
        <v>3.5277777777777777</v>
      </c>
      <c r="H23" s="93"/>
    </row>
    <row r="24" spans="1:8" ht="28.35" customHeight="1" thickBot="1" x14ac:dyDescent="0.25">
      <c r="A24" s="93"/>
      <c r="B24" s="93"/>
      <c r="C24" s="29" t="s">
        <v>8</v>
      </c>
      <c r="D24" s="69">
        <f>(2*(8+8+9+7+14+14)+2+3*(5+8+9+8+8+3)+4*(2+2+3+2)+5*(3+2+2+1))/'2'!C23</f>
        <v>2.6749999999999998</v>
      </c>
      <c r="E24" s="69">
        <f>(2*(8+7+7+6+7)+3*(7+11+9+9+14+8)+4*(15)+5*(12))/'2'!C23</f>
        <v>3.0333333333333332</v>
      </c>
      <c r="F24" s="69">
        <f>(2*(17)+3*(57)+4*(11)+5*(6))/('2'!C23-29)</f>
        <v>3.0659340659340661</v>
      </c>
      <c r="G24" s="69">
        <f>(2+3*(10)+4*(7+6)+5*(4))/29</f>
        <v>3.5862068965517242</v>
      </c>
      <c r="H24" s="93"/>
    </row>
    <row r="25" spans="1:8" ht="28.35" customHeight="1" thickBot="1" x14ac:dyDescent="0.25">
      <c r="A25" s="93"/>
      <c r="B25" s="93"/>
      <c r="C25" s="29" t="s">
        <v>9</v>
      </c>
      <c r="D25" s="69">
        <f>(2*(2+2+1+1+5+1+1)+3*(2+4+3+9+12+13+11+16)+4*(9+3+4+5+8)+5*(1+3+2))/'2'!C24</f>
        <v>3.2372881355932202</v>
      </c>
      <c r="E25" s="69">
        <f>(2*(1+1+4+5+1+3)+3*(2+1+3+12+9+13+11+11)+4*(5+6+4+4+11)+5*(4+2+3+2))/'2'!C24</f>
        <v>3.3135593220338984</v>
      </c>
      <c r="F25" s="69">
        <f>(2+2*(7+1+3+4+4+6+5)+3*(1+2+11+12+9+13)+4*(2+2+1+7)+5*(3))/('2'!C24-22)</f>
        <v>2.8020833333333335</v>
      </c>
      <c r="G25" s="69">
        <f>(2+3*(10)+4*(9)+5*(2))/22</f>
        <v>3.5454545454545454</v>
      </c>
      <c r="H25" s="93"/>
    </row>
    <row r="26" spans="1:8" ht="53.25" customHeight="1" thickBot="1" x14ac:dyDescent="0.25">
      <c r="C26" s="21" t="s">
        <v>173</v>
      </c>
      <c r="D26" s="69">
        <f>AVERAGE(D23,D24,D25)</f>
        <v>2.9172647694775757</v>
      </c>
      <c r="E26" s="69">
        <f>AVERAGE(E23,E24,E25)</f>
        <v>3.0477296505545088</v>
      </c>
      <c r="F26" s="69">
        <f>AVERAGE(F23,F24,F25)</f>
        <v>2.9189687627187628</v>
      </c>
      <c r="G26" s="69">
        <f>AVERAGE(G23,G24,G25)</f>
        <v>3.5531464065946827</v>
      </c>
    </row>
    <row r="27" spans="1:8" s="93" customFormat="1" ht="28.35" customHeight="1" x14ac:dyDescent="0.2">
      <c r="A27"/>
      <c r="B27"/>
      <c r="C27"/>
      <c r="D27"/>
      <c r="E27"/>
      <c r="F27"/>
      <c r="G27"/>
      <c r="H27"/>
    </row>
    <row r="28" spans="1:8" s="93" customFormat="1" ht="28.35" customHeight="1" x14ac:dyDescent="0.2">
      <c r="A28" s="26"/>
      <c r="B28" s="87"/>
      <c r="C28" s="87"/>
      <c r="D28" s="87"/>
      <c r="E28" s="87"/>
      <c r="F28"/>
      <c r="G28"/>
      <c r="H28"/>
    </row>
    <row r="29" spans="1:8" ht="15.75" x14ac:dyDescent="0.2">
      <c r="A29" s="26"/>
      <c r="B29" s="87"/>
      <c r="C29" s="87"/>
      <c r="D29" s="87"/>
      <c r="E29" s="87"/>
    </row>
    <row r="30" spans="1:8" ht="15.75" x14ac:dyDescent="0.2">
      <c r="A30" s="26"/>
      <c r="B30" s="87"/>
      <c r="C30" s="87"/>
      <c r="D30" s="87"/>
      <c r="E30" s="87"/>
    </row>
    <row r="31" spans="1:8" ht="15.75" x14ac:dyDescent="0.2">
      <c r="A31" s="26"/>
      <c r="B31" s="87"/>
      <c r="C31" s="87"/>
      <c r="D31" s="87"/>
      <c r="E31" s="87"/>
    </row>
    <row r="32" spans="1:8" ht="15.75" x14ac:dyDescent="0.2">
      <c r="A32" s="26"/>
      <c r="B32" s="87"/>
      <c r="C32" s="87"/>
      <c r="D32" s="87"/>
      <c r="E32" s="87"/>
    </row>
    <row r="33" spans="1:5" ht="15.75" x14ac:dyDescent="0.2">
      <c r="A33" s="26"/>
      <c r="B33" s="87"/>
      <c r="C33" s="87"/>
      <c r="D33" s="87"/>
      <c r="E33" s="87"/>
    </row>
    <row r="34" spans="1:5" ht="15.75" x14ac:dyDescent="0.2">
      <c r="A34" s="26"/>
      <c r="B34" s="87"/>
      <c r="C34" s="87"/>
      <c r="D34" s="87"/>
      <c r="E34" s="87"/>
    </row>
    <row r="35" spans="1:5" ht="15.75" x14ac:dyDescent="0.2">
      <c r="A35" s="26"/>
      <c r="B35" s="87"/>
      <c r="C35" s="87"/>
      <c r="D35" s="87"/>
      <c r="E35" s="87"/>
    </row>
    <row r="36" spans="1:5" ht="15.75" x14ac:dyDescent="0.2">
      <c r="A36" s="26"/>
      <c r="B36" s="87"/>
      <c r="C36" s="87"/>
      <c r="D36" s="87"/>
      <c r="E36" s="87"/>
    </row>
    <row r="37" spans="1:5" ht="15.75" x14ac:dyDescent="0.2">
      <c r="A37" s="26"/>
      <c r="B37" s="87"/>
      <c r="C37" s="87"/>
      <c r="D37" s="87"/>
      <c r="E37" s="87"/>
    </row>
    <row r="38" spans="1:5" ht="15.75" x14ac:dyDescent="0.2">
      <c r="A38" s="26"/>
      <c r="B38" s="87"/>
      <c r="C38" s="87"/>
      <c r="D38" s="87"/>
      <c r="E38" s="87"/>
    </row>
    <row r="39" spans="1:5" ht="28.35" customHeight="1" x14ac:dyDescent="0.2"/>
    <row r="40" spans="1:5" ht="28.35" customHeight="1" x14ac:dyDescent="0.2"/>
    <row r="41" spans="1:5" ht="28.35" customHeight="1" x14ac:dyDescent="0.2"/>
    <row r="43" spans="1:5" ht="28.35" customHeight="1" x14ac:dyDescent="0.2">
      <c r="A43" s="93"/>
      <c r="B43" s="93"/>
    </row>
    <row r="44" spans="1:5" ht="28.35" customHeight="1" x14ac:dyDescent="0.2">
      <c r="A44" s="93"/>
      <c r="B44" s="93"/>
    </row>
    <row r="45" spans="1:5" ht="28.35" customHeight="1" x14ac:dyDescent="0.2">
      <c r="A45" s="93"/>
      <c r="B45" s="93"/>
    </row>
    <row r="46" spans="1:5" ht="28.35" customHeight="1" x14ac:dyDescent="0.2">
      <c r="A46" s="93"/>
      <c r="B46" s="93"/>
    </row>
    <row r="47" spans="1:5" ht="28.35" customHeight="1" x14ac:dyDescent="0.2">
      <c r="A47" s="93"/>
      <c r="B47" s="93"/>
    </row>
    <row r="48" spans="1:5" ht="28.35" customHeight="1" x14ac:dyDescent="0.2">
      <c r="A48" s="93"/>
      <c r="B48" s="93"/>
    </row>
    <row r="49" spans="1:11" x14ac:dyDescent="0.2">
      <c r="K49">
        <v>11</v>
      </c>
    </row>
    <row r="50" spans="1:11" ht="16.5" x14ac:dyDescent="0.25">
      <c r="A50" s="227" t="s">
        <v>213</v>
      </c>
      <c r="B50" s="227"/>
      <c r="C50" s="227"/>
      <c r="D50" s="227"/>
      <c r="E50" s="227"/>
      <c r="F50" s="227"/>
      <c r="G50" s="227"/>
      <c r="H50" s="227"/>
      <c r="I50" s="227"/>
      <c r="J50" s="227"/>
      <c r="K50" s="227"/>
    </row>
    <row r="51" spans="1:11" ht="16.5" thickBot="1" x14ac:dyDescent="0.3">
      <c r="A51" s="3" t="s">
        <v>242</v>
      </c>
    </row>
    <row r="52" spans="1:11" ht="28.35" customHeight="1" x14ac:dyDescent="0.2">
      <c r="D52" s="225" t="s">
        <v>18</v>
      </c>
      <c r="E52" s="225" t="s">
        <v>28</v>
      </c>
      <c r="F52" s="225" t="s">
        <v>19</v>
      </c>
      <c r="G52" s="225" t="s">
        <v>20</v>
      </c>
      <c r="H52" s="225" t="s">
        <v>29</v>
      </c>
    </row>
    <row r="53" spans="1:11" ht="13.5" thickBot="1" x14ac:dyDescent="0.25">
      <c r="D53" s="226"/>
      <c r="E53" s="226"/>
      <c r="F53" s="226"/>
      <c r="G53" s="226"/>
      <c r="H53" s="226"/>
    </row>
    <row r="54" spans="1:11" ht="28.35" customHeight="1" x14ac:dyDescent="0.2">
      <c r="C54" s="211" t="s">
        <v>2</v>
      </c>
      <c r="D54" s="223" t="s">
        <v>172</v>
      </c>
      <c r="E54" s="223" t="s">
        <v>172</v>
      </c>
      <c r="F54" s="223" t="s">
        <v>172</v>
      </c>
      <c r="G54" s="223" t="s">
        <v>172</v>
      </c>
      <c r="H54" s="223" t="s">
        <v>172</v>
      </c>
    </row>
    <row r="55" spans="1:11" ht="13.5" thickBot="1" x14ac:dyDescent="0.25">
      <c r="C55" s="212"/>
      <c r="D55" s="224"/>
      <c r="E55" s="224"/>
      <c r="F55" s="224"/>
      <c r="G55" s="224"/>
      <c r="H55" s="224"/>
    </row>
    <row r="56" spans="1:11" ht="28.35" customHeight="1" thickBot="1" x14ac:dyDescent="0.25">
      <c r="C56" s="29" t="s">
        <v>7</v>
      </c>
      <c r="D56" s="69">
        <f>(1+1+2*(4+4+8+9+13+7+4+6)+3*(13+12+10+5+9+10+11+11)+4*(1+1+2+2+3+2)+5*(1+3+1+3+4+1))/'2'!C22</f>
        <v>2.8641975308641974</v>
      </c>
      <c r="E56" s="69">
        <f>(1+1+2*(11+8+12+11+13+7+8+9)+3*(6+7+8+4+8+9+7+7)+4*(1+3+1+4+2+1)+5*(1+1+3+3+4+1))/'2'!C22</f>
        <v>2.7222222222222223</v>
      </c>
      <c r="F56" s="69">
        <f>(1+2*(10+9+12+10+4+6+2+8)+3*(8+8+6+4+16+12+9+8)+4*(1+1+2+2+2+2+4+1)+5*(1+2+2+3+4+2+1))/'2'!C22</f>
        <v>2.9074074074074074</v>
      </c>
      <c r="G56" s="69">
        <f>(1+2*(5+5+10+4+5+2+4+6)+3*(10+11+8+9+12+14+9+8)+4*(3+2+3+2+6+3+4+3)+5*(1+2+3+2+5+1))/'2'!C22</f>
        <v>3.0864197530864197</v>
      </c>
      <c r="H56" s="118">
        <f>(3+2*(5+1+10+8+2+7+3+5)+3*(12+14+7+5+19+10+10+12)+4*(1+2+3+1+1+2+3)+5*(1+2+3+5+1))/'2'!C22</f>
        <v>2.8641975308641974</v>
      </c>
    </row>
    <row r="57" spans="1:11" ht="28.35" customHeight="1" thickBot="1" x14ac:dyDescent="0.25">
      <c r="C57" s="29" t="s">
        <v>8</v>
      </c>
      <c r="D57" s="69">
        <f>(2*(11)+3*(25+15+12+18+12)+4*(14)+5*(13))/'2'!C23</f>
        <v>3.2416666666666667</v>
      </c>
      <c r="E57" s="69">
        <f>(2+2*(10)+3*(23+8+9+15+11)+4*(4+9+9+5)+5*(6+9))/'2'!C23</f>
        <v>3.3583333333333334</v>
      </c>
      <c r="F57" s="69">
        <f>(2+2*(18+6+8)+3*(9+5+10+7+13+9)+4*(5+7+2+5+3+1)+5*(10))/'2'!C23</f>
        <v>3.0583333333333331</v>
      </c>
      <c r="G57" s="69">
        <f>(2*5+3*(9+12+11+10+16+14)+4*(4+3+7+4+6+3)+5*(16))/'2'!C23</f>
        <v>3.45</v>
      </c>
      <c r="H57" s="118">
        <f>(2*(10)+3*(11+13+13+29+16)+4*(16)+5*(12))/'2'!C23</f>
        <v>3.25</v>
      </c>
    </row>
    <row r="58" spans="1:11" ht="28.35" customHeight="1" thickBot="1" x14ac:dyDescent="0.25">
      <c r="C58" s="29" t="s">
        <v>9</v>
      </c>
      <c r="D58" s="69">
        <f>(2*(1+2+1+3+1+1+2+1+1)+3*(5+2+3+8+13+12+9+15)+4*(8+4+3+6+7)+5*(5+3+4))/'2'!C24</f>
        <v>3.3813559322033897</v>
      </c>
      <c r="E58" s="69">
        <f>(2*(1+4+2+5+3+3+1+2)+3*(3+1+1+12+11+15+11+18)+4*(2+3+2+3+7)+5*(4+2+2))/'2'!C24</f>
        <v>3.1016949152542375</v>
      </c>
      <c r="F58" s="69">
        <f>(2*(1+2+3+6+1+3+3+5+7)+3*(2+3+11+11+9+9+15)+4*(6+2+6+2+4)+5*(3+1+2+1))/'2'!C24</f>
        <v>3.0254237288135593</v>
      </c>
      <c r="G58" s="69">
        <f>(2*(1+1+4+4)+3*(2+4+1+15+13+11+11+16)+4*(3+4+5+5+8)+5*(3+4+3))/'2'!C24</f>
        <v>3.2966101694915255</v>
      </c>
      <c r="H58" s="118">
        <f>(2*(3+5+7+1+1+4+4+4)+3*(1+12+9+9+8+13)+4*(5+3+4+4+10)+5*(3+1+3+4))/'2'!C24</f>
        <v>3.1610169491525424</v>
      </c>
    </row>
    <row r="59" spans="1:11" ht="34.5" thickBot="1" x14ac:dyDescent="0.25">
      <c r="C59" s="21" t="s">
        <v>173</v>
      </c>
      <c r="D59" s="69">
        <f>AVERAGE(D56,D57,D58)</f>
        <v>3.1624067099114179</v>
      </c>
      <c r="E59" s="69">
        <f>AVERAGE(E56,E57,E58)</f>
        <v>3.0607501569365976</v>
      </c>
      <c r="F59" s="69">
        <f>AVERAGE(F56,F57,F58)</f>
        <v>2.9970548231847665</v>
      </c>
      <c r="G59" s="69">
        <f>AVERAGE(G56,G57,G58)</f>
        <v>3.2776766408593154</v>
      </c>
      <c r="H59" s="69">
        <f>AVERAGE(H56,H57,H58)</f>
        <v>3.0917381600055798</v>
      </c>
    </row>
    <row r="74" spans="3:9" ht="28.35" customHeight="1" x14ac:dyDescent="0.2"/>
    <row r="77" spans="3:9" ht="28.35" customHeight="1" thickBot="1" x14ac:dyDescent="0.25"/>
    <row r="78" spans="3:9" ht="15" x14ac:dyDescent="0.2">
      <c r="C78" s="158"/>
      <c r="D78" s="211" t="s">
        <v>30</v>
      </c>
      <c r="E78" s="211" t="s">
        <v>68</v>
      </c>
      <c r="F78" s="211" t="s">
        <v>37</v>
      </c>
      <c r="G78" s="211" t="s">
        <v>23</v>
      </c>
      <c r="H78" s="211" t="s">
        <v>24</v>
      </c>
      <c r="I78" s="211" t="s">
        <v>121</v>
      </c>
    </row>
    <row r="79" spans="3:9" ht="15.75" thickBot="1" x14ac:dyDescent="0.25">
      <c r="C79" s="158"/>
      <c r="D79" s="212"/>
      <c r="E79" s="212"/>
      <c r="F79" s="212"/>
      <c r="G79" s="212"/>
      <c r="H79" s="212"/>
      <c r="I79" s="212"/>
    </row>
    <row r="80" spans="3:9" ht="28.35" customHeight="1" x14ac:dyDescent="0.2">
      <c r="C80" s="211" t="s">
        <v>2</v>
      </c>
      <c r="D80" s="223" t="s">
        <v>172</v>
      </c>
      <c r="E80" s="223" t="s">
        <v>172</v>
      </c>
      <c r="F80" s="223" t="s">
        <v>172</v>
      </c>
      <c r="G80" s="223" t="s">
        <v>172</v>
      </c>
      <c r="H80" s="223" t="s">
        <v>172</v>
      </c>
      <c r="I80" s="223" t="s">
        <v>172</v>
      </c>
    </row>
    <row r="81" spans="3:9" ht="13.5" thickBot="1" x14ac:dyDescent="0.25">
      <c r="C81" s="212"/>
      <c r="D81" s="224"/>
      <c r="E81" s="224"/>
      <c r="F81" s="224"/>
      <c r="G81" s="224"/>
      <c r="H81" s="224"/>
      <c r="I81" s="224"/>
    </row>
    <row r="82" spans="3:9" s="93" customFormat="1" ht="28.35" customHeight="1" thickBot="1" x14ac:dyDescent="0.25">
      <c r="C82" s="29" t="s">
        <v>7</v>
      </c>
      <c r="D82" s="118">
        <f>(1+2*(1+1+8+5+2+1+1)+3*(10+9+8+6+11+13+12+11)+4*(6+7+4+4+7+4+2+4)+5*(2+3+3+5+6+3+2))/'2'!C22</f>
        <v>3.4012345679012346</v>
      </c>
      <c r="E82" s="118">
        <f>(1+1+1+2*(2+2+1+5+6)+3*(7+14+11+14+11+12+14+13)+4*(7+2+3+6+4+3+3+4)+5*(4+3+1+4+2+1))/'2'!C22</f>
        <v>3.2469135802469138</v>
      </c>
      <c r="F82" s="118">
        <f>(1+2*(3+3+1+2+1)+3*(13+14+10+13+8+15+12+12)+4*(3+2+7+6+6+5+10+5)+5*(2+1+4+3))/'2'!C22</f>
        <v>3.3209876543209877</v>
      </c>
      <c r="G82" s="118">
        <f>(1+2*(2+1)+3*(6+7+10+13+6+12+13+7)+4*(12+8+8+7+11+10+12+11)+5*(1+2+1+2))/'2'!C22</f>
        <v>3.5493827160493829</v>
      </c>
      <c r="H82" s="118">
        <f>(3*(2+3+2+3+2+7+2+1)+4*(5+1+3+5+4+5+4)+5*(3+1+3+3+2))/(10+5+5+11+9+12+8+1)</f>
        <v>3.8360655737704916</v>
      </c>
      <c r="I82" s="159" t="s">
        <v>118</v>
      </c>
    </row>
    <row r="83" spans="3:9" s="93" customFormat="1" ht="28.35" customHeight="1" thickBot="1" x14ac:dyDescent="0.25">
      <c r="C83" s="29" t="s">
        <v>8</v>
      </c>
      <c r="D83" s="118">
        <f>(1+2*(7)+3*(72)+4*(24)+5*(16))/'2'!C23</f>
        <v>3.3916666666666666</v>
      </c>
      <c r="E83" s="118">
        <f>(2*(6)+3*(9+8+16+11+9+13)+4*(26)+5*(22))/'2'!C23</f>
        <v>3.5333333333333332</v>
      </c>
      <c r="F83" s="118">
        <f>(2*(6)+3*(17+7+6+18+12)+4*(19+13+12)+5*(10))/'2'!C23</f>
        <v>3.4833333333333334</v>
      </c>
      <c r="G83" s="118">
        <f>(2*(2)+3*(19+31)+4*(23+9+8+18)+5*(10))/'2'!C23</f>
        <v>3.6333333333333333</v>
      </c>
      <c r="H83" s="118">
        <f>(3*2+4*7+5*3)/12</f>
        <v>4.083333333333333</v>
      </c>
      <c r="I83" s="159" t="s">
        <v>118</v>
      </c>
    </row>
    <row r="84" spans="3:9" s="93" customFormat="1" ht="28.35" customHeight="1" thickBot="1" x14ac:dyDescent="0.25">
      <c r="C84" s="29" t="s">
        <v>9</v>
      </c>
      <c r="D84" s="118">
        <f>(4+3*(3+2+9+4+11)+4*(3+6+7)+5*(2+4))/(9+20+17+8)</f>
        <v>3.425925925925926</v>
      </c>
      <c r="E84" s="118">
        <f>(3*(13)+4*(10)+5*(4))/27</f>
        <v>3.6666666666666665</v>
      </c>
      <c r="F84" s="118">
        <f>(3*(7+2+5)+4*(1+2+7)+5*(1+8+4))/(16+12+9)</f>
        <v>3.9729729729729728</v>
      </c>
      <c r="G84" s="118">
        <f>(2*(2+1+3)+3*(3+1+2+3+11+12+3+4+11)+4*(2+2+8+4+13+12+13)+5*(1+4+3))/'2'!C24</f>
        <v>3.5423728813559321</v>
      </c>
      <c r="H84" s="118">
        <f>(4*4+5*12)/16</f>
        <v>4.75</v>
      </c>
      <c r="I84" s="69">
        <f>(2*1+3*(11+15+17+6+10)+4*(15+9+6+4+13)+5*(2+1+4+4))/'2'!C24</f>
        <v>3.5762711864406778</v>
      </c>
    </row>
    <row r="85" spans="3:9" ht="34.5" thickBot="1" x14ac:dyDescent="0.25">
      <c r="C85" s="21" t="s">
        <v>173</v>
      </c>
      <c r="D85" s="69">
        <f>AVERAGE(D82,D83,D84)</f>
        <v>3.4062757201646092</v>
      </c>
      <c r="E85" s="69">
        <f>AVERAGE(E82,E83,E84)</f>
        <v>3.4823045267489712</v>
      </c>
      <c r="F85" s="69">
        <f>AVERAGE(F82,F83,F84)</f>
        <v>3.5924313202090978</v>
      </c>
      <c r="G85" s="69">
        <f>AVERAGE(G82,G83,G84)</f>
        <v>3.5750296435795494</v>
      </c>
      <c r="H85" s="69">
        <f>AVERAGE(H82,H83,H84)</f>
        <v>4.2231329690346078</v>
      </c>
      <c r="I85" s="69">
        <f>I84</f>
        <v>3.5762711864406778</v>
      </c>
    </row>
    <row r="110" spans="11:11" x14ac:dyDescent="0.2">
      <c r="K110">
        <v>12</v>
      </c>
    </row>
  </sheetData>
  <mergeCells count="34">
    <mergeCell ref="A50:K50"/>
    <mergeCell ref="G21:G22"/>
    <mergeCell ref="E19:E20"/>
    <mergeCell ref="F19:F20"/>
    <mergeCell ref="G19:G20"/>
    <mergeCell ref="C21:C22"/>
    <mergeCell ref="D21:D22"/>
    <mergeCell ref="E21:E22"/>
    <mergeCell ref="D19:D20"/>
    <mergeCell ref="F21:F22"/>
    <mergeCell ref="G54:G55"/>
    <mergeCell ref="H54:H55"/>
    <mergeCell ref="G52:G53"/>
    <mergeCell ref="H52:H53"/>
    <mergeCell ref="C80:C81"/>
    <mergeCell ref="E80:E81"/>
    <mergeCell ref="G80:G81"/>
    <mergeCell ref="H80:H81"/>
    <mergeCell ref="C54:C55"/>
    <mergeCell ref="D54:D55"/>
    <mergeCell ref="E54:E55"/>
    <mergeCell ref="F54:F55"/>
    <mergeCell ref="F52:F53"/>
    <mergeCell ref="D52:D53"/>
    <mergeCell ref="E52:E53"/>
    <mergeCell ref="I80:I81"/>
    <mergeCell ref="D80:D81"/>
    <mergeCell ref="F80:F81"/>
    <mergeCell ref="H78:H79"/>
    <mergeCell ref="I78:I79"/>
    <mergeCell ref="D78:D79"/>
    <mergeCell ref="E78:E79"/>
    <mergeCell ref="F78:F79"/>
    <mergeCell ref="G78:G79"/>
  </mergeCells>
  <pageMargins left="0.78740157499999996" right="0.78740157499999996"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colBreaks count="1" manualBreakCount="1">
    <brk id="20" max="47"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enableFormatConditionsCalculation="0">
    <tabColor indexed="11"/>
  </sheetPr>
  <dimension ref="A1:L65"/>
  <sheetViews>
    <sheetView view="pageLayout" zoomScaleNormal="100" workbookViewId="0">
      <selection activeCell="D10" sqref="D10"/>
    </sheetView>
  </sheetViews>
  <sheetFormatPr defaultRowHeight="12.75" x14ac:dyDescent="0.2"/>
  <cols>
    <col min="4" max="4" width="12.7109375" bestFit="1" customWidth="1"/>
    <col min="6" max="6" width="12.42578125" bestFit="1" customWidth="1"/>
    <col min="8" max="8" width="11.28515625" customWidth="1"/>
  </cols>
  <sheetData>
    <row r="1" spans="1:8" ht="15.75" x14ac:dyDescent="0.25">
      <c r="A1" s="1" t="s">
        <v>204</v>
      </c>
    </row>
    <row r="2" spans="1:8" ht="15.75" x14ac:dyDescent="0.25">
      <c r="A2" s="1"/>
    </row>
    <row r="3" spans="1:8" ht="15.75" x14ac:dyDescent="0.25">
      <c r="A3" s="1"/>
    </row>
    <row r="4" spans="1:8" ht="15.75" x14ac:dyDescent="0.25">
      <c r="A4" s="1"/>
    </row>
    <row r="5" spans="1:8" ht="15.75" x14ac:dyDescent="0.25">
      <c r="A5" s="1"/>
    </row>
    <row r="6" spans="1:8" ht="15.75" x14ac:dyDescent="0.25">
      <c r="A6" s="1"/>
    </row>
    <row r="7" spans="1:8" ht="15.75" x14ac:dyDescent="0.25">
      <c r="A7" s="1"/>
    </row>
    <row r="8" spans="1:8" ht="15.75" x14ac:dyDescent="0.25">
      <c r="A8" s="1"/>
    </row>
    <row r="9" spans="1:8" ht="15.75" x14ac:dyDescent="0.25">
      <c r="A9" s="2"/>
    </row>
    <row r="10" spans="1:8" ht="15.75" x14ac:dyDescent="0.25">
      <c r="A10" s="3" t="s">
        <v>49</v>
      </c>
    </row>
    <row r="11" spans="1:8" ht="16.5" thickBot="1" x14ac:dyDescent="0.3">
      <c r="A11" s="1"/>
    </row>
    <row r="12" spans="1:8" ht="16.5" thickBot="1" x14ac:dyDescent="0.25">
      <c r="A12" s="4"/>
      <c r="B12" s="9"/>
      <c r="C12" s="228" t="s">
        <v>40</v>
      </c>
      <c r="D12" s="229"/>
      <c r="E12" s="229"/>
      <c r="F12" s="229"/>
      <c r="G12" s="229"/>
      <c r="H12" s="230"/>
    </row>
    <row r="13" spans="1:8" ht="16.5" customHeight="1" x14ac:dyDescent="0.2">
      <c r="A13" s="231"/>
      <c r="B13" s="233"/>
      <c r="C13" s="200" t="s">
        <v>41</v>
      </c>
      <c r="D13" s="201"/>
      <c r="E13" s="200" t="s">
        <v>42</v>
      </c>
      <c r="F13" s="201"/>
      <c r="G13" s="200" t="s">
        <v>43</v>
      </c>
      <c r="H13" s="201"/>
    </row>
    <row r="14" spans="1:8" ht="18.75" customHeight="1" thickBot="1" x14ac:dyDescent="0.25">
      <c r="A14" s="232"/>
      <c r="B14" s="234"/>
      <c r="C14" s="202"/>
      <c r="D14" s="203"/>
      <c r="E14" s="202"/>
      <c r="F14" s="203"/>
      <c r="G14" s="202"/>
      <c r="H14" s="203"/>
    </row>
    <row r="15" spans="1:8" ht="30.75" thickBot="1" x14ac:dyDescent="0.25">
      <c r="A15" s="154" t="s">
        <v>2</v>
      </c>
      <c r="B15" s="162" t="s">
        <v>12</v>
      </c>
      <c r="C15" s="162" t="s">
        <v>44</v>
      </c>
      <c r="D15" s="162" t="s">
        <v>45</v>
      </c>
      <c r="E15" s="162" t="s">
        <v>44</v>
      </c>
      <c r="F15" s="162" t="s">
        <v>45</v>
      </c>
      <c r="G15" s="162" t="s">
        <v>44</v>
      </c>
      <c r="H15" s="162" t="s">
        <v>45</v>
      </c>
    </row>
    <row r="16" spans="1:8" s="93" customFormat="1" ht="28.35" customHeight="1" thickBot="1" x14ac:dyDescent="0.25">
      <c r="A16" s="29" t="s">
        <v>5</v>
      </c>
      <c r="B16" s="153">
        <f>'2'!C20</f>
        <v>133</v>
      </c>
      <c r="C16" s="153">
        <f>6+7+2+3+5</f>
        <v>23</v>
      </c>
      <c r="D16" s="137">
        <f t="shared" ref="D16:D21" si="0">C16/B16</f>
        <v>0.17293233082706766</v>
      </c>
      <c r="E16" s="153">
        <f>9+10+13+8</f>
        <v>40</v>
      </c>
      <c r="F16" s="137">
        <f t="shared" ref="F16:F21" si="1">E16/B16</f>
        <v>0.3007518796992481</v>
      </c>
      <c r="G16" s="153">
        <f>1+4+5+2+5</f>
        <v>17</v>
      </c>
      <c r="H16" s="137">
        <f t="shared" ref="H16:H21" si="2">G16/B16</f>
        <v>0.12781954887218044</v>
      </c>
    </row>
    <row r="17" spans="1:8" s="93" customFormat="1" ht="28.35" customHeight="1" thickBot="1" x14ac:dyDescent="0.25">
      <c r="A17" s="29" t="s">
        <v>6</v>
      </c>
      <c r="B17" s="153">
        <f>'2'!C21</f>
        <v>126</v>
      </c>
      <c r="C17" s="153">
        <f>1+3+2+4+4</f>
        <v>14</v>
      </c>
      <c r="D17" s="137">
        <f t="shared" si="0"/>
        <v>0.1111111111111111</v>
      </c>
      <c r="E17" s="153">
        <f>14+6+9</f>
        <v>29</v>
      </c>
      <c r="F17" s="137">
        <f t="shared" si="1"/>
        <v>0.23015873015873015</v>
      </c>
      <c r="G17" s="153">
        <f>10+5+6</f>
        <v>21</v>
      </c>
      <c r="H17" s="137">
        <f t="shared" si="2"/>
        <v>0.16666666666666666</v>
      </c>
    </row>
    <row r="18" spans="1:8" s="93" customFormat="1" ht="28.35" customHeight="1" thickBot="1" x14ac:dyDescent="0.25">
      <c r="A18" s="29" t="s">
        <v>7</v>
      </c>
      <c r="B18" s="153">
        <f>'2'!C22</f>
        <v>162</v>
      </c>
      <c r="C18" s="153">
        <f>2+1+1+5+2+2+2</f>
        <v>15</v>
      </c>
      <c r="D18" s="137">
        <f t="shared" si="0"/>
        <v>9.2592592592592587E-2</v>
      </c>
      <c r="E18" s="153">
        <f>1+1+7+5+1</f>
        <v>15</v>
      </c>
      <c r="F18" s="137">
        <f t="shared" si="1"/>
        <v>9.2592592592592587E-2</v>
      </c>
      <c r="G18" s="153">
        <f>4+4+4+6+2+1+2+3</f>
        <v>26</v>
      </c>
      <c r="H18" s="137">
        <f t="shared" si="2"/>
        <v>0.16049382716049382</v>
      </c>
    </row>
    <row r="19" spans="1:8" s="93" customFormat="1" ht="28.35" customHeight="1" thickBot="1" x14ac:dyDescent="0.25">
      <c r="A19" s="29" t="s">
        <v>8</v>
      </c>
      <c r="B19" s="153">
        <f>'2'!C23</f>
        <v>120</v>
      </c>
      <c r="C19" s="153">
        <f>2</f>
        <v>2</v>
      </c>
      <c r="D19" s="137">
        <f t="shared" si="0"/>
        <v>1.6666666666666666E-2</v>
      </c>
      <c r="E19" s="153">
        <f>3+4</f>
        <v>7</v>
      </c>
      <c r="F19" s="137">
        <f t="shared" si="1"/>
        <v>5.8333333333333334E-2</v>
      </c>
      <c r="G19" s="153">
        <v>0</v>
      </c>
      <c r="H19" s="137">
        <f t="shared" si="2"/>
        <v>0</v>
      </c>
    </row>
    <row r="20" spans="1:8" s="93" customFormat="1" ht="28.35" customHeight="1" thickBot="1" x14ac:dyDescent="0.25">
      <c r="A20" s="29" t="s">
        <v>9</v>
      </c>
      <c r="B20" s="153">
        <f>'2'!C24</f>
        <v>118</v>
      </c>
      <c r="C20" s="153">
        <f>1+1</f>
        <v>2</v>
      </c>
      <c r="D20" s="137">
        <f t="shared" si="0"/>
        <v>1.6949152542372881E-2</v>
      </c>
      <c r="E20" s="153">
        <f>1+2+5</f>
        <v>8</v>
      </c>
      <c r="F20" s="137">
        <f t="shared" si="1"/>
        <v>6.7796610169491525E-2</v>
      </c>
      <c r="G20" s="153">
        <f>1</f>
        <v>1</v>
      </c>
      <c r="H20" s="137">
        <f t="shared" si="2"/>
        <v>8.4745762711864406E-3</v>
      </c>
    </row>
    <row r="21" spans="1:8" s="93" customFormat="1" ht="28.35" customHeight="1" thickBot="1" x14ac:dyDescent="0.25">
      <c r="A21" s="43" t="s">
        <v>11</v>
      </c>
      <c r="B21" s="153">
        <f>SUM(B16:B20)</f>
        <v>659</v>
      </c>
      <c r="C21" s="153">
        <f>SUM(C16:C20)</f>
        <v>56</v>
      </c>
      <c r="D21" s="137">
        <f t="shared" si="0"/>
        <v>8.4977238239757211E-2</v>
      </c>
      <c r="E21" s="153">
        <f>SUM(E16:E20)</f>
        <v>99</v>
      </c>
      <c r="F21" s="137">
        <f t="shared" si="1"/>
        <v>0.15022761760242792</v>
      </c>
      <c r="G21" s="153">
        <f>SUM(G16:G20)</f>
        <v>65</v>
      </c>
      <c r="H21" s="137">
        <f t="shared" si="2"/>
        <v>9.8634294385432475E-2</v>
      </c>
    </row>
    <row r="22" spans="1:8" ht="15.75" x14ac:dyDescent="0.25">
      <c r="A22" s="1"/>
    </row>
    <row r="23" spans="1:8" ht="15.75" x14ac:dyDescent="0.25">
      <c r="A23" s="3"/>
    </row>
    <row r="24" spans="1:8" ht="15.75" x14ac:dyDescent="0.25">
      <c r="A24" s="1"/>
    </row>
    <row r="26" spans="1:8" ht="15.75" x14ac:dyDescent="0.25">
      <c r="A26" s="1"/>
    </row>
    <row r="27" spans="1:8" ht="15.75" x14ac:dyDescent="0.25">
      <c r="A27" s="1"/>
    </row>
    <row r="28" spans="1:8" ht="15.75" x14ac:dyDescent="0.25">
      <c r="A28" s="1"/>
    </row>
    <row r="29" spans="1:8" ht="15.75" x14ac:dyDescent="0.25">
      <c r="A29" s="1"/>
    </row>
    <row r="44" spans="1:8" ht="12.75" customHeight="1" x14ac:dyDescent="0.2">
      <c r="A44" s="163"/>
      <c r="B44" s="163"/>
      <c r="C44" s="163"/>
      <c r="D44" s="163"/>
      <c r="E44" s="163"/>
      <c r="F44" s="163"/>
      <c r="G44" s="163"/>
      <c r="H44" s="163"/>
    </row>
    <row r="52" spans="9:10" ht="15.75" customHeight="1" x14ac:dyDescent="0.2"/>
    <row r="54" spans="9:10" ht="15.75" customHeight="1" x14ac:dyDescent="0.2">
      <c r="I54" s="68"/>
      <c r="J54" s="68"/>
    </row>
    <row r="55" spans="9:10" ht="12.75" customHeight="1" x14ac:dyDescent="0.2">
      <c r="I55" s="68"/>
      <c r="J55" s="68"/>
    </row>
    <row r="56" spans="9:10" ht="12.75" customHeight="1" x14ac:dyDescent="0.2">
      <c r="I56" s="68"/>
      <c r="J56" s="68"/>
    </row>
    <row r="57" spans="9:10" ht="12.75" customHeight="1" x14ac:dyDescent="0.2">
      <c r="I57" s="68"/>
      <c r="J57" s="68"/>
    </row>
    <row r="65" spans="12:12" x14ac:dyDescent="0.2">
      <c r="L65">
        <v>13</v>
      </c>
    </row>
  </sheetData>
  <mergeCells count="6">
    <mergeCell ref="C12:H12"/>
    <mergeCell ref="A13:A14"/>
    <mergeCell ref="B13:B14"/>
    <mergeCell ref="E13:F14"/>
    <mergeCell ref="C13:D14"/>
    <mergeCell ref="G13:H14"/>
  </mergeCells>
  <phoneticPr fontId="6" type="noConversion"/>
  <pageMargins left="0.78740157480314965" right="0.78740157480314965" top="0.98425196850393704" bottom="0.98425196850393704" header="0" footer="0"/>
  <pageSetup paperSize="9" scale="71" orientation="portrait" r:id="rId1"/>
  <headerFooter>
    <oddHeader>&amp;L&amp;G&amp;R
RELATÓRIO DE AUTO-AVALIAÇÃO DA ESCOLA
&amp;8ANO LECTIVO 2008/09&amp;10
____________________________________________________________________________________________</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enableFormatConditionsCalculation="0">
    <tabColor indexed="11"/>
  </sheetPr>
  <dimension ref="A1:AQ55"/>
  <sheetViews>
    <sheetView view="pageLayout" zoomScaleNormal="100" zoomScaleSheetLayoutView="63" workbookViewId="0">
      <selection activeCell="U20" sqref="U20"/>
    </sheetView>
  </sheetViews>
  <sheetFormatPr defaultRowHeight="12.75" x14ac:dyDescent="0.2"/>
  <cols>
    <col min="2" max="2" width="10.140625" customWidth="1"/>
    <col min="3" max="3" width="12.140625" customWidth="1"/>
    <col min="4" max="4" width="15.7109375" customWidth="1"/>
    <col min="5" max="5" width="13" customWidth="1"/>
    <col min="6" max="6" width="18" customWidth="1"/>
    <col min="7" max="7" width="18.5703125" customWidth="1"/>
    <col min="12" max="12" width="12" customWidth="1"/>
    <col min="13" max="13" width="13.5703125" customWidth="1"/>
    <col min="14" max="14" width="13.85546875" customWidth="1"/>
    <col min="15" max="15" width="16" customWidth="1"/>
    <col min="16" max="16" width="16.28515625" customWidth="1"/>
    <col min="17" max="17" width="8.7109375" customWidth="1"/>
    <col min="18" max="19" width="3.7109375" customWidth="1"/>
    <col min="20" max="20" width="7.7109375" customWidth="1"/>
    <col min="21" max="21" width="11" customWidth="1"/>
    <col min="22" max="22" width="8.7109375" customWidth="1"/>
    <col min="23" max="23" width="10.28515625" customWidth="1"/>
    <col min="24" max="24" width="11.42578125" bestFit="1" customWidth="1"/>
    <col min="25" max="26" width="11.5703125" bestFit="1" customWidth="1"/>
    <col min="27" max="27" width="11.42578125" bestFit="1" customWidth="1"/>
    <col min="28" max="29" width="11.5703125" bestFit="1" customWidth="1"/>
    <col min="30" max="30" width="19.42578125" customWidth="1"/>
  </cols>
  <sheetData>
    <row r="1" spans="1:43" ht="15.75" x14ac:dyDescent="0.25">
      <c r="A1" s="1" t="s">
        <v>205</v>
      </c>
      <c r="J1" s="1" t="s">
        <v>214</v>
      </c>
      <c r="U1" s="1" t="s">
        <v>215</v>
      </c>
      <c r="AE1" s="186"/>
      <c r="AF1" s="186"/>
      <c r="AG1" s="186"/>
      <c r="AH1" s="186"/>
      <c r="AI1" s="186"/>
      <c r="AJ1" s="186"/>
      <c r="AK1" s="186"/>
      <c r="AL1" s="186"/>
      <c r="AM1" s="186"/>
      <c r="AN1" s="186"/>
      <c r="AO1" s="186"/>
      <c r="AP1" s="186"/>
      <c r="AQ1" s="186"/>
    </row>
    <row r="2" spans="1:43" ht="28.35" customHeight="1" x14ac:dyDescent="0.25">
      <c r="A2" s="1"/>
      <c r="J2" s="1"/>
      <c r="U2" s="1"/>
      <c r="AE2" s="186"/>
      <c r="AF2" s="186"/>
      <c r="AG2" s="186"/>
      <c r="AH2" s="186"/>
      <c r="AI2" s="186"/>
      <c r="AJ2" s="186"/>
      <c r="AK2" s="186"/>
      <c r="AL2" s="186"/>
      <c r="AM2" s="186"/>
      <c r="AN2" s="186"/>
      <c r="AO2" s="186"/>
      <c r="AP2" s="186"/>
      <c r="AQ2" s="186"/>
    </row>
    <row r="3" spans="1:43" ht="28.35" customHeight="1" x14ac:dyDescent="0.25">
      <c r="A3" s="3"/>
      <c r="AE3" s="186"/>
      <c r="AF3" s="186"/>
      <c r="AG3" s="186"/>
      <c r="AH3" s="186"/>
      <c r="AI3" s="186"/>
      <c r="AJ3" s="186"/>
      <c r="AK3" s="186"/>
      <c r="AL3" s="186"/>
      <c r="AM3" s="186"/>
      <c r="AN3" s="186"/>
      <c r="AO3" s="186"/>
      <c r="AP3" s="186"/>
      <c r="AQ3" s="186"/>
    </row>
    <row r="4" spans="1:43" ht="28.35" customHeight="1" x14ac:dyDescent="0.2">
      <c r="AE4" s="186"/>
      <c r="AF4" s="186"/>
      <c r="AG4" s="186"/>
      <c r="AH4" s="186"/>
      <c r="AI4" s="186"/>
      <c r="AJ4" s="186"/>
      <c r="AK4" s="186"/>
      <c r="AL4" s="186"/>
      <c r="AM4" s="186"/>
      <c r="AN4" s="186"/>
      <c r="AO4" s="186"/>
      <c r="AP4" s="186"/>
      <c r="AQ4" s="186"/>
    </row>
    <row r="5" spans="1:43" ht="28.35" customHeight="1" x14ac:dyDescent="0.2">
      <c r="AE5" s="186"/>
      <c r="AF5" s="186"/>
      <c r="AG5" s="186"/>
      <c r="AH5" s="186"/>
      <c r="AI5" s="186"/>
      <c r="AJ5" s="186"/>
      <c r="AK5" s="186"/>
      <c r="AL5" s="186"/>
      <c r="AM5" s="186"/>
      <c r="AN5" s="186"/>
      <c r="AO5" s="186"/>
      <c r="AP5" s="186"/>
      <c r="AQ5" s="186"/>
    </row>
    <row r="6" spans="1:43" s="93" customFormat="1" ht="28.35" customHeight="1" x14ac:dyDescent="0.2">
      <c r="AE6" s="186"/>
      <c r="AF6" s="186"/>
      <c r="AG6" s="186"/>
      <c r="AH6" s="186"/>
      <c r="AI6" s="186"/>
      <c r="AJ6" s="186"/>
      <c r="AK6" s="186"/>
      <c r="AL6" s="186"/>
      <c r="AM6" s="186"/>
      <c r="AN6" s="186"/>
      <c r="AO6" s="186"/>
      <c r="AP6" s="186"/>
      <c r="AQ6" s="186"/>
    </row>
    <row r="7" spans="1:43" s="93" customFormat="1" ht="28.35" customHeight="1" x14ac:dyDescent="0.2">
      <c r="AE7" s="186"/>
      <c r="AF7" s="186"/>
      <c r="AG7" s="186"/>
      <c r="AH7" s="186"/>
      <c r="AI7" s="186"/>
      <c r="AJ7" s="186"/>
      <c r="AK7" s="186"/>
      <c r="AL7" s="186"/>
      <c r="AM7" s="186"/>
      <c r="AN7" s="186"/>
      <c r="AO7" s="186"/>
      <c r="AP7" s="186"/>
      <c r="AQ7" s="186"/>
    </row>
    <row r="8" spans="1:43" s="93" customFormat="1" ht="28.35" customHeight="1" thickBot="1" x14ac:dyDescent="0.3">
      <c r="A8" s="3" t="s">
        <v>52</v>
      </c>
      <c r="C8"/>
      <c r="D8"/>
      <c r="E8"/>
      <c r="F8"/>
      <c r="G8"/>
      <c r="H8"/>
      <c r="J8" s="3" t="s">
        <v>56</v>
      </c>
      <c r="Q8"/>
      <c r="AE8" s="186"/>
      <c r="AF8" s="186"/>
      <c r="AG8" s="186"/>
      <c r="AH8" s="186"/>
      <c r="AI8" s="186"/>
      <c r="AJ8" s="186"/>
      <c r="AK8" s="186"/>
      <c r="AL8" s="186"/>
      <c r="AM8" s="186"/>
      <c r="AN8" s="186"/>
      <c r="AO8" s="186"/>
      <c r="AP8" s="186"/>
      <c r="AQ8" s="186"/>
    </row>
    <row r="9" spans="1:43" s="93" customFormat="1" ht="63.75" thickBot="1" x14ac:dyDescent="0.25">
      <c r="B9"/>
      <c r="C9" s="119" t="s">
        <v>2</v>
      </c>
      <c r="D9" s="130" t="s">
        <v>12</v>
      </c>
      <c r="E9" s="130" t="s">
        <v>206</v>
      </c>
      <c r="F9" s="130" t="s">
        <v>208</v>
      </c>
      <c r="G9" s="130" t="s">
        <v>207</v>
      </c>
      <c r="H9"/>
      <c r="K9" s="119" t="s">
        <v>2</v>
      </c>
      <c r="L9" s="130" t="s">
        <v>12</v>
      </c>
      <c r="M9" s="130" t="s">
        <v>96</v>
      </c>
      <c r="N9" s="130" t="s">
        <v>97</v>
      </c>
      <c r="O9" s="130" t="s">
        <v>98</v>
      </c>
      <c r="P9" s="130" t="s">
        <v>99</v>
      </c>
      <c r="Q9"/>
      <c r="AE9" s="186"/>
      <c r="AF9" s="186"/>
      <c r="AG9" s="186"/>
      <c r="AH9" s="186"/>
      <c r="AI9" s="186"/>
      <c r="AJ9" s="186"/>
      <c r="AK9" s="186"/>
      <c r="AL9" s="186"/>
      <c r="AM9" s="186"/>
      <c r="AN9" s="186"/>
      <c r="AO9" s="186"/>
      <c r="AP9" s="186"/>
      <c r="AQ9" s="186"/>
    </row>
    <row r="10" spans="1:43" s="93" customFormat="1" ht="28.35" customHeight="1" thickBot="1" x14ac:dyDescent="0.3">
      <c r="C10" s="29" t="s">
        <v>5</v>
      </c>
      <c r="D10" s="121">
        <f>'2'!D20</f>
        <v>135</v>
      </c>
      <c r="E10" s="121">
        <f>'2'!G20</f>
        <v>27</v>
      </c>
      <c r="F10" s="121">
        <v>21</v>
      </c>
      <c r="G10" s="137">
        <f>F10/E10</f>
        <v>0.77777777777777779</v>
      </c>
      <c r="J10"/>
      <c r="K10" s="29" t="s">
        <v>5</v>
      </c>
      <c r="L10" s="121">
        <f>'2'!D20</f>
        <v>135</v>
      </c>
      <c r="M10" s="121">
        <f>14+1+17+3+9+8</f>
        <v>52</v>
      </c>
      <c r="N10" s="137">
        <f t="shared" ref="N10:N15" si="0">M10/L10</f>
        <v>0.38518518518518519</v>
      </c>
      <c r="O10" s="44">
        <f>9+1+9+2+5+6</f>
        <v>32</v>
      </c>
      <c r="P10" s="50">
        <f t="shared" ref="P10:P15" si="1">O10/M10</f>
        <v>0.61538461538461542</v>
      </c>
      <c r="Q10"/>
      <c r="U10" s="3" t="s">
        <v>64</v>
      </c>
      <c r="AE10" s="186"/>
      <c r="AF10" s="186"/>
      <c r="AG10" s="186"/>
      <c r="AH10" s="186"/>
      <c r="AI10" s="186"/>
      <c r="AJ10" s="186"/>
      <c r="AK10" s="186"/>
      <c r="AL10" s="186"/>
      <c r="AM10" s="186"/>
      <c r="AN10" s="186"/>
      <c r="AO10" s="186"/>
      <c r="AP10" s="186"/>
      <c r="AQ10" s="186"/>
    </row>
    <row r="11" spans="1:43" s="93" customFormat="1" ht="28.35" customHeight="1" thickBot="1" x14ac:dyDescent="0.25">
      <c r="C11" s="29" t="s">
        <v>6</v>
      </c>
      <c r="D11" s="121">
        <f>'2'!D21</f>
        <v>127</v>
      </c>
      <c r="E11" s="121">
        <f>'2'!G21</f>
        <v>18</v>
      </c>
      <c r="F11" s="121">
        <v>13</v>
      </c>
      <c r="G11" s="137">
        <f t="shared" ref="G11:G15" si="2">F11/E11</f>
        <v>0.72222222222222221</v>
      </c>
      <c r="J11"/>
      <c r="K11" s="29" t="s">
        <v>6</v>
      </c>
      <c r="L11" s="121">
        <f>'2'!D21</f>
        <v>127</v>
      </c>
      <c r="M11" s="121">
        <f>8+14+10+7+9+12</f>
        <v>60</v>
      </c>
      <c r="N11" s="137">
        <f t="shared" si="0"/>
        <v>0.47244094488188976</v>
      </c>
      <c r="O11" s="44">
        <f>4+10+6+7+7+9</f>
        <v>43</v>
      </c>
      <c r="P11" s="50">
        <f t="shared" si="1"/>
        <v>0.71666666666666667</v>
      </c>
      <c r="Q11"/>
      <c r="V11" s="235" t="s">
        <v>2</v>
      </c>
      <c r="W11" s="235" t="s">
        <v>12</v>
      </c>
      <c r="X11" s="206" t="s">
        <v>209</v>
      </c>
      <c r="Y11" s="206"/>
      <c r="Z11" s="206"/>
      <c r="AA11" s="206" t="s">
        <v>210</v>
      </c>
      <c r="AB11" s="206"/>
      <c r="AC11" s="206"/>
      <c r="AD11" s="235" t="s">
        <v>211</v>
      </c>
      <c r="AE11" s="186"/>
      <c r="AF11" s="186"/>
      <c r="AG11" s="186"/>
      <c r="AH11" s="186"/>
      <c r="AI11" s="186"/>
      <c r="AJ11" s="186"/>
      <c r="AK11" s="186"/>
      <c r="AL11" s="186"/>
      <c r="AM11" s="186"/>
      <c r="AN11" s="186"/>
      <c r="AO11" s="186"/>
      <c r="AP11" s="186"/>
      <c r="AQ11" s="186"/>
    </row>
    <row r="12" spans="1:43" ht="28.35" customHeight="1" thickBot="1" x14ac:dyDescent="0.25">
      <c r="A12" s="93"/>
      <c r="B12" s="93"/>
      <c r="C12" s="29" t="s">
        <v>7</v>
      </c>
      <c r="D12" s="121">
        <f>'2'!C22</f>
        <v>162</v>
      </c>
      <c r="E12" s="121">
        <f>'2'!G22</f>
        <v>59</v>
      </c>
      <c r="F12" s="121">
        <v>38</v>
      </c>
      <c r="G12" s="137">
        <f t="shared" si="2"/>
        <v>0.64406779661016944</v>
      </c>
      <c r="H12" s="93"/>
      <c r="K12" s="29" t="s">
        <v>7</v>
      </c>
      <c r="L12" s="121">
        <f>'2'!C22</f>
        <v>162</v>
      </c>
      <c r="M12" s="121">
        <f>8+12+13+12+16+12+10+14</f>
        <v>97</v>
      </c>
      <c r="N12" s="137">
        <f t="shared" si="0"/>
        <v>0.59876543209876543</v>
      </c>
      <c r="O12" s="44">
        <f>5+6+4+3+8+6+4+7</f>
        <v>43</v>
      </c>
      <c r="P12" s="50">
        <f t="shared" si="1"/>
        <v>0.44329896907216493</v>
      </c>
      <c r="Q12" s="93"/>
      <c r="V12" s="235"/>
      <c r="W12" s="235"/>
      <c r="X12" s="206"/>
      <c r="Y12" s="206"/>
      <c r="Z12" s="206"/>
      <c r="AA12" s="206"/>
      <c r="AB12" s="206"/>
      <c r="AC12" s="206"/>
      <c r="AD12" s="235"/>
      <c r="AE12" s="186"/>
      <c r="AF12" s="186"/>
      <c r="AG12" s="186"/>
      <c r="AH12" s="186"/>
      <c r="AI12" s="186"/>
      <c r="AJ12" s="186"/>
      <c r="AK12" s="186"/>
      <c r="AL12" s="186"/>
      <c r="AM12" s="186"/>
      <c r="AN12" s="186"/>
      <c r="AO12" s="186"/>
      <c r="AP12" s="186"/>
      <c r="AQ12" s="186"/>
    </row>
    <row r="13" spans="1:43" ht="28.35" customHeight="1" thickBot="1" x14ac:dyDescent="0.25">
      <c r="A13" s="93"/>
      <c r="B13" s="93"/>
      <c r="C13" s="29" t="s">
        <v>8</v>
      </c>
      <c r="D13" s="121">
        <f>'2'!C23</f>
        <v>120</v>
      </c>
      <c r="E13" s="121">
        <f>'2'!G23</f>
        <v>15</v>
      </c>
      <c r="F13" s="121">
        <v>10</v>
      </c>
      <c r="G13" s="137">
        <f t="shared" si="2"/>
        <v>0.66666666666666663</v>
      </c>
      <c r="H13" s="93"/>
      <c r="J13" s="93"/>
      <c r="K13" s="29" t="s">
        <v>8</v>
      </c>
      <c r="L13" s="121">
        <f>'2'!C23</f>
        <v>120</v>
      </c>
      <c r="M13" s="121">
        <f>7+13+9+15+16+10</f>
        <v>70</v>
      </c>
      <c r="N13" s="137">
        <f t="shared" si="0"/>
        <v>0.58333333333333337</v>
      </c>
      <c r="O13" s="44">
        <f>4+9+8+12+15+7</f>
        <v>55</v>
      </c>
      <c r="P13" s="50">
        <f t="shared" si="1"/>
        <v>0.7857142857142857</v>
      </c>
      <c r="Q13" s="93"/>
      <c r="V13" s="235"/>
      <c r="W13" s="235"/>
      <c r="X13" s="122" t="s">
        <v>104</v>
      </c>
      <c r="Y13" s="122" t="s">
        <v>105</v>
      </c>
      <c r="Z13" s="122" t="s">
        <v>106</v>
      </c>
      <c r="AA13" s="122" t="s">
        <v>104</v>
      </c>
      <c r="AB13" s="122" t="s">
        <v>105</v>
      </c>
      <c r="AC13" s="122" t="s">
        <v>106</v>
      </c>
      <c r="AD13" s="122" t="s">
        <v>106</v>
      </c>
      <c r="AE13" s="186"/>
      <c r="AF13" s="186"/>
      <c r="AG13" s="186"/>
      <c r="AH13" s="186"/>
      <c r="AI13" s="186"/>
      <c r="AJ13" s="186"/>
      <c r="AK13" s="186"/>
      <c r="AL13" s="186"/>
      <c r="AM13" s="186"/>
      <c r="AN13" s="186"/>
      <c r="AO13" s="186"/>
      <c r="AP13" s="186"/>
      <c r="AQ13" s="186"/>
    </row>
    <row r="14" spans="1:43" ht="28.35" customHeight="1" thickBot="1" x14ac:dyDescent="0.25">
      <c r="A14" s="93"/>
      <c r="B14" s="93"/>
      <c r="C14" s="29" t="s">
        <v>9</v>
      </c>
      <c r="D14" s="121">
        <f>'2'!C24</f>
        <v>118</v>
      </c>
      <c r="E14" s="121">
        <f>'2'!G24</f>
        <v>21</v>
      </c>
      <c r="F14" s="121">
        <v>7</v>
      </c>
      <c r="G14" s="137">
        <f t="shared" si="2"/>
        <v>0.33333333333333331</v>
      </c>
      <c r="H14" s="93"/>
      <c r="J14" s="93"/>
      <c r="K14" s="29" t="s">
        <v>9</v>
      </c>
      <c r="L14" s="121">
        <f>'2'!C24</f>
        <v>118</v>
      </c>
      <c r="M14" s="121">
        <f>3+11+16+15+19</f>
        <v>64</v>
      </c>
      <c r="N14" s="137">
        <f t="shared" si="0"/>
        <v>0.5423728813559322</v>
      </c>
      <c r="O14" s="44">
        <f>2+10+13+9+11</f>
        <v>45</v>
      </c>
      <c r="P14" s="50">
        <f t="shared" si="1"/>
        <v>0.703125</v>
      </c>
      <c r="Q14" s="93"/>
      <c r="V14" s="120" t="s">
        <v>5</v>
      </c>
      <c r="W14" s="120">
        <f>'2'!D20</f>
        <v>135</v>
      </c>
      <c r="X14" s="120">
        <v>84</v>
      </c>
      <c r="Y14" s="138">
        <f>14+16+17+19+11+11</f>
        <v>88</v>
      </c>
      <c r="Z14" s="44">
        <f>18+17+18+17+16+16</f>
        <v>102</v>
      </c>
      <c r="AA14" s="44">
        <v>53</v>
      </c>
      <c r="AB14" s="44">
        <f>12+3+5+4+9+12</f>
        <v>45</v>
      </c>
      <c r="AC14" s="44">
        <v>29</v>
      </c>
      <c r="AD14" s="50">
        <f t="shared" ref="AD14:AD20" si="3">AC14/W14</f>
        <v>0.21481481481481482</v>
      </c>
      <c r="AE14" s="186"/>
      <c r="AF14" s="186"/>
      <c r="AG14" s="186"/>
      <c r="AH14" s="186"/>
      <c r="AI14" s="186"/>
      <c r="AJ14" s="186"/>
      <c r="AK14" s="186"/>
      <c r="AL14" s="186"/>
      <c r="AM14" s="186"/>
      <c r="AN14" s="186"/>
      <c r="AO14" s="186"/>
      <c r="AP14" s="186"/>
      <c r="AQ14" s="186"/>
    </row>
    <row r="15" spans="1:43" ht="28.35" customHeight="1" thickBot="1" x14ac:dyDescent="0.3">
      <c r="A15" s="2"/>
      <c r="B15" s="93"/>
      <c r="C15" s="29" t="s">
        <v>11</v>
      </c>
      <c r="D15" s="121">
        <f>SUM(D10:D14)</f>
        <v>662</v>
      </c>
      <c r="E15" s="121">
        <f>SUM(E10:E14)</f>
        <v>140</v>
      </c>
      <c r="F15" s="121">
        <f>SUM(F10:F14)</f>
        <v>89</v>
      </c>
      <c r="G15" s="137">
        <f t="shared" si="2"/>
        <v>0.63571428571428568</v>
      </c>
      <c r="H15" s="93"/>
      <c r="J15" s="93"/>
      <c r="K15" s="29" t="s">
        <v>11</v>
      </c>
      <c r="L15" s="121">
        <f>SUM(L10:L14)</f>
        <v>662</v>
      </c>
      <c r="M15" s="121">
        <f>SUM(M10:M14)</f>
        <v>343</v>
      </c>
      <c r="N15" s="137">
        <f t="shared" si="0"/>
        <v>0.51812688821752262</v>
      </c>
      <c r="O15" s="44">
        <f>SUM(O10:O14)</f>
        <v>218</v>
      </c>
      <c r="P15" s="50">
        <f t="shared" si="1"/>
        <v>0.63556851311953355</v>
      </c>
      <c r="Q15" s="93"/>
      <c r="V15" s="120" t="s">
        <v>6</v>
      </c>
      <c r="W15" s="120">
        <f>'2'!D21</f>
        <v>127</v>
      </c>
      <c r="X15" s="120">
        <v>71</v>
      </c>
      <c r="Y15" s="138">
        <f>15+14+16+11+14+13</f>
        <v>83</v>
      </c>
      <c r="Z15" s="44">
        <f>14+14+10+11+16+15</f>
        <v>80</v>
      </c>
      <c r="AA15" s="44">
        <v>47</v>
      </c>
      <c r="AB15" s="44">
        <f>9+5+8+9+10+7</f>
        <v>48</v>
      </c>
      <c r="AC15" s="44">
        <f>9+5+12+9+6+6</f>
        <v>47</v>
      </c>
      <c r="AD15" s="50">
        <f t="shared" si="3"/>
        <v>0.37007874015748032</v>
      </c>
      <c r="AE15" s="186"/>
      <c r="AF15" s="186"/>
      <c r="AG15" s="186"/>
      <c r="AH15" s="186"/>
      <c r="AI15" s="186"/>
      <c r="AJ15" s="186"/>
      <c r="AK15" s="186"/>
      <c r="AL15" s="186"/>
      <c r="AM15" s="186"/>
      <c r="AN15" s="186"/>
      <c r="AO15" s="186"/>
      <c r="AP15" s="186"/>
      <c r="AQ15" s="186"/>
    </row>
    <row r="16" spans="1:43" ht="28.35" customHeight="1" thickBot="1" x14ac:dyDescent="0.3">
      <c r="A16" s="3"/>
      <c r="J16" s="93"/>
      <c r="Q16" s="93"/>
      <c r="V16" s="120" t="s">
        <v>7</v>
      </c>
      <c r="W16" s="120">
        <f>'2'!C22</f>
        <v>162</v>
      </c>
      <c r="X16" s="120">
        <v>92</v>
      </c>
      <c r="Y16" s="138">
        <f>14+12+9+9+20+17+9+8</f>
        <v>98</v>
      </c>
      <c r="Z16" s="44">
        <f>13+15+16+12+21+20+12+11</f>
        <v>120</v>
      </c>
      <c r="AA16" s="44">
        <v>70</v>
      </c>
      <c r="AB16" s="44">
        <f>4+8+12+9+5+7+9+10</f>
        <v>64</v>
      </c>
      <c r="AC16" s="44">
        <f>7+5+4+6+4+4+6+7</f>
        <v>43</v>
      </c>
      <c r="AD16" s="50">
        <f t="shared" si="3"/>
        <v>0.26543209876543211</v>
      </c>
      <c r="AE16" s="186"/>
      <c r="AF16" s="186"/>
      <c r="AG16" s="186"/>
      <c r="AH16" s="186"/>
      <c r="AI16" s="186"/>
      <c r="AJ16" s="186"/>
      <c r="AK16" s="186"/>
      <c r="AL16" s="186"/>
      <c r="AM16" s="186"/>
      <c r="AN16" s="186"/>
      <c r="AO16" s="186"/>
      <c r="AP16" s="186"/>
      <c r="AQ16" s="186"/>
    </row>
    <row r="17" spans="1:43" ht="28.35" customHeight="1" thickBot="1" x14ac:dyDescent="0.25">
      <c r="J17" s="93"/>
      <c r="Q17" s="93"/>
      <c r="V17" s="120" t="s">
        <v>8</v>
      </c>
      <c r="W17" s="120">
        <f>'2'!C23</f>
        <v>120</v>
      </c>
      <c r="X17" s="120">
        <v>70</v>
      </c>
      <c r="Y17" s="138">
        <f>17+11+18+9+18+17</f>
        <v>90</v>
      </c>
      <c r="Z17" s="44">
        <f>16+14+17+14+20+14</f>
        <v>95</v>
      </c>
      <c r="AA17" s="44">
        <v>50</v>
      </c>
      <c r="AB17" s="44">
        <f>1+7+3+10+6+3</f>
        <v>30</v>
      </c>
      <c r="AC17" s="44">
        <f>2+4+4+4+4+6</f>
        <v>24</v>
      </c>
      <c r="AD17" s="50">
        <f t="shared" si="3"/>
        <v>0.2</v>
      </c>
      <c r="AE17" s="186"/>
      <c r="AF17" s="186"/>
      <c r="AG17" s="186"/>
      <c r="AH17" s="186"/>
      <c r="AI17" s="186"/>
      <c r="AJ17" s="186"/>
      <c r="AK17" s="186"/>
      <c r="AL17" s="186"/>
      <c r="AM17" s="186"/>
      <c r="AN17" s="186"/>
      <c r="AO17" s="186"/>
      <c r="AP17" s="186"/>
      <c r="AQ17" s="186"/>
    </row>
    <row r="18" spans="1:43" ht="28.35" customHeight="1" thickBot="1" x14ac:dyDescent="0.3">
      <c r="A18" s="1"/>
      <c r="V18" s="120" t="s">
        <v>9</v>
      </c>
      <c r="W18" s="120">
        <f>'2'!C24</f>
        <v>118</v>
      </c>
      <c r="X18" s="120">
        <v>41</v>
      </c>
      <c r="Y18" s="138">
        <f>18+21+7+23+14</f>
        <v>83</v>
      </c>
      <c r="Z18" s="44">
        <f>17+21+9+19+13</f>
        <v>79</v>
      </c>
      <c r="AA18" s="44">
        <v>72</v>
      </c>
      <c r="AB18" s="44">
        <f>3+6+13+2+10</f>
        <v>34</v>
      </c>
      <c r="AC18" s="44">
        <f>5+6+11+6+11</f>
        <v>39</v>
      </c>
      <c r="AD18" s="50">
        <f t="shared" si="3"/>
        <v>0.33050847457627119</v>
      </c>
      <c r="AE18" s="186"/>
      <c r="AF18" s="186"/>
      <c r="AG18" s="186"/>
      <c r="AH18" s="186"/>
      <c r="AI18" s="186"/>
      <c r="AJ18" s="186"/>
      <c r="AK18" s="186"/>
      <c r="AL18" s="186"/>
      <c r="AM18" s="186"/>
      <c r="AN18" s="186"/>
      <c r="AO18" s="186"/>
      <c r="AP18" s="186"/>
      <c r="AQ18" s="186"/>
    </row>
    <row r="19" spans="1:43" ht="28.35" customHeight="1" thickBot="1" x14ac:dyDescent="0.3">
      <c r="A19" s="1"/>
      <c r="V19" s="120" t="s">
        <v>102</v>
      </c>
      <c r="W19" s="120">
        <f>'2'!C25</f>
        <v>33</v>
      </c>
      <c r="X19" s="120">
        <v>17</v>
      </c>
      <c r="Y19" s="138">
        <f>8+7+4</f>
        <v>19</v>
      </c>
      <c r="Z19" s="139">
        <v>9</v>
      </c>
      <c r="AA19" s="44">
        <v>17</v>
      </c>
      <c r="AB19" s="44">
        <f>7+2+5</f>
        <v>14</v>
      </c>
      <c r="AC19" s="139">
        <v>6</v>
      </c>
      <c r="AD19" s="50">
        <f t="shared" si="3"/>
        <v>0.18181818181818182</v>
      </c>
      <c r="AE19" s="186"/>
      <c r="AF19" s="186"/>
      <c r="AG19" s="186"/>
      <c r="AH19" s="186"/>
      <c r="AI19" s="186"/>
      <c r="AJ19" s="186"/>
      <c r="AK19" s="186"/>
      <c r="AL19" s="186"/>
      <c r="AM19" s="186"/>
      <c r="AN19" s="186"/>
      <c r="AO19" s="186"/>
      <c r="AP19" s="186"/>
      <c r="AQ19" s="186"/>
    </row>
    <row r="20" spans="1:43" ht="28.35" customHeight="1" thickBot="1" x14ac:dyDescent="0.25">
      <c r="V20" s="120" t="s">
        <v>11</v>
      </c>
      <c r="W20" s="120">
        <f t="shared" ref="W20:AC20" si="4">SUM(W14:W19)</f>
        <v>695</v>
      </c>
      <c r="X20" s="44">
        <f t="shared" si="4"/>
        <v>375</v>
      </c>
      <c r="Y20" s="44">
        <f t="shared" si="4"/>
        <v>461</v>
      </c>
      <c r="Z20" s="44">
        <f t="shared" si="4"/>
        <v>485</v>
      </c>
      <c r="AA20" s="44">
        <f t="shared" si="4"/>
        <v>309</v>
      </c>
      <c r="AB20" s="44">
        <f t="shared" si="4"/>
        <v>235</v>
      </c>
      <c r="AC20" s="44">
        <f t="shared" si="4"/>
        <v>188</v>
      </c>
      <c r="AD20" s="50">
        <f t="shared" si="3"/>
        <v>0.27050359712230215</v>
      </c>
      <c r="AE20" s="186"/>
      <c r="AF20" s="186"/>
      <c r="AG20" s="186"/>
      <c r="AH20" s="186"/>
      <c r="AI20" s="186"/>
      <c r="AJ20" s="186"/>
      <c r="AK20" s="186"/>
      <c r="AL20" s="186"/>
      <c r="AM20" s="186"/>
      <c r="AN20" s="186"/>
      <c r="AO20" s="186"/>
      <c r="AP20" s="186"/>
      <c r="AQ20" s="186"/>
    </row>
    <row r="21" spans="1:43" x14ac:dyDescent="0.2">
      <c r="AE21" s="186"/>
      <c r="AF21" s="186"/>
      <c r="AG21" s="186"/>
      <c r="AH21" s="186"/>
      <c r="AI21" s="186"/>
      <c r="AJ21" s="186"/>
      <c r="AK21" s="186"/>
      <c r="AL21" s="186"/>
      <c r="AM21" s="186"/>
      <c r="AN21" s="186"/>
      <c r="AO21" s="186"/>
      <c r="AP21" s="186"/>
      <c r="AQ21" s="186"/>
    </row>
    <row r="22" spans="1:43" x14ac:dyDescent="0.2">
      <c r="AE22" s="186"/>
      <c r="AF22" s="186"/>
      <c r="AG22" s="186"/>
      <c r="AH22" s="186"/>
      <c r="AI22" s="186"/>
      <c r="AJ22" s="186"/>
      <c r="AK22" s="186"/>
      <c r="AL22" s="186"/>
      <c r="AM22" s="186"/>
      <c r="AN22" s="186"/>
      <c r="AO22" s="186"/>
      <c r="AP22" s="186"/>
      <c r="AQ22" s="186"/>
    </row>
    <row r="23" spans="1:43" x14ac:dyDescent="0.2">
      <c r="AE23" s="186"/>
      <c r="AF23" s="186"/>
      <c r="AG23" s="186"/>
      <c r="AH23" s="186"/>
      <c r="AI23" s="186"/>
      <c r="AJ23" s="186"/>
      <c r="AK23" s="186"/>
      <c r="AL23" s="186"/>
      <c r="AM23" s="186"/>
      <c r="AN23" s="186"/>
      <c r="AO23" s="186"/>
      <c r="AP23" s="186"/>
      <c r="AQ23" s="186"/>
    </row>
    <row r="24" spans="1:43" x14ac:dyDescent="0.2">
      <c r="AE24" s="186"/>
      <c r="AF24" s="186"/>
      <c r="AG24" s="186"/>
      <c r="AH24" s="186"/>
      <c r="AI24" s="186"/>
      <c r="AJ24" s="186"/>
      <c r="AK24" s="186"/>
      <c r="AL24" s="186"/>
      <c r="AM24" s="186"/>
      <c r="AN24" s="186"/>
      <c r="AO24" s="186"/>
      <c r="AP24" s="186"/>
      <c r="AQ24" s="186"/>
    </row>
    <row r="25" spans="1:43" x14ac:dyDescent="0.2">
      <c r="AE25" s="186"/>
      <c r="AF25" s="186"/>
      <c r="AG25" s="186"/>
      <c r="AH25" s="186"/>
      <c r="AI25" s="186"/>
      <c r="AJ25" s="186"/>
      <c r="AK25" s="186"/>
      <c r="AL25" s="186"/>
      <c r="AM25" s="186"/>
      <c r="AN25" s="186"/>
      <c r="AO25" s="186"/>
      <c r="AP25" s="186"/>
      <c r="AQ25" s="186"/>
    </row>
    <row r="26" spans="1:43" x14ac:dyDescent="0.2">
      <c r="AE26" s="186"/>
      <c r="AF26" s="186"/>
      <c r="AG26" s="186"/>
      <c r="AH26" s="186"/>
      <c r="AI26" s="186"/>
      <c r="AJ26" s="186"/>
      <c r="AK26" s="186"/>
      <c r="AL26" s="186"/>
      <c r="AM26" s="186"/>
      <c r="AN26" s="186"/>
      <c r="AO26" s="186"/>
      <c r="AP26" s="186"/>
      <c r="AQ26" s="186"/>
    </row>
    <row r="27" spans="1:43" x14ac:dyDescent="0.2">
      <c r="AE27" s="186"/>
      <c r="AF27" s="186"/>
      <c r="AG27" s="186"/>
      <c r="AH27" s="186"/>
      <c r="AI27" s="186"/>
      <c r="AJ27" s="186"/>
      <c r="AK27" s="186"/>
      <c r="AL27" s="186"/>
      <c r="AM27" s="186"/>
      <c r="AN27" s="186"/>
      <c r="AO27" s="186"/>
      <c r="AP27" s="186"/>
      <c r="AQ27" s="186"/>
    </row>
    <row r="28" spans="1:43" x14ac:dyDescent="0.2">
      <c r="AE28" s="186"/>
      <c r="AF28" s="186"/>
      <c r="AG28" s="186"/>
      <c r="AH28" s="186"/>
      <c r="AI28" s="186"/>
      <c r="AJ28" s="186"/>
      <c r="AK28" s="186"/>
      <c r="AL28" s="186"/>
      <c r="AM28" s="186"/>
      <c r="AN28" s="186"/>
      <c r="AO28" s="186"/>
      <c r="AP28" s="186"/>
      <c r="AQ28" s="186"/>
    </row>
    <row r="29" spans="1:43" x14ac:dyDescent="0.2">
      <c r="AE29" s="186"/>
      <c r="AF29" s="186"/>
      <c r="AG29" s="186"/>
      <c r="AH29" s="186"/>
      <c r="AI29" s="186"/>
      <c r="AJ29" s="186"/>
      <c r="AK29" s="186"/>
      <c r="AL29" s="186"/>
      <c r="AM29" s="186"/>
      <c r="AN29" s="186"/>
      <c r="AO29" s="186"/>
      <c r="AP29" s="186"/>
      <c r="AQ29" s="186"/>
    </row>
    <row r="30" spans="1:43" x14ac:dyDescent="0.2">
      <c r="AE30" s="186"/>
      <c r="AF30" s="186"/>
      <c r="AG30" s="186"/>
      <c r="AH30" s="186"/>
      <c r="AI30" s="186"/>
      <c r="AJ30" s="186"/>
      <c r="AK30" s="186"/>
      <c r="AL30" s="186"/>
      <c r="AM30" s="186"/>
      <c r="AN30" s="186"/>
      <c r="AO30" s="186"/>
      <c r="AP30" s="186"/>
      <c r="AQ30" s="186"/>
    </row>
    <row r="31" spans="1:43" x14ac:dyDescent="0.2">
      <c r="AE31" s="186"/>
      <c r="AF31" s="186"/>
      <c r="AG31" s="186"/>
      <c r="AH31" s="186"/>
      <c r="AI31" s="186"/>
      <c r="AJ31" s="186"/>
      <c r="AK31" s="186"/>
      <c r="AL31" s="186"/>
      <c r="AM31" s="186"/>
      <c r="AN31" s="186"/>
      <c r="AO31" s="186"/>
      <c r="AP31" s="186"/>
      <c r="AQ31" s="186"/>
    </row>
    <row r="32" spans="1:43" x14ac:dyDescent="0.2">
      <c r="AE32" s="186"/>
      <c r="AF32" s="186"/>
      <c r="AG32" s="186"/>
      <c r="AH32" s="186"/>
      <c r="AI32" s="186"/>
      <c r="AJ32" s="186"/>
      <c r="AK32" s="186"/>
      <c r="AL32" s="186"/>
      <c r="AM32" s="186"/>
      <c r="AN32" s="186"/>
      <c r="AO32" s="186"/>
      <c r="AP32" s="186"/>
      <c r="AQ32" s="186"/>
    </row>
    <row r="33" spans="1:43" ht="15.75" customHeight="1" x14ac:dyDescent="0.2">
      <c r="I33" s="76"/>
      <c r="AE33" s="186"/>
      <c r="AF33" s="186"/>
      <c r="AG33" s="186"/>
      <c r="AH33" s="186"/>
      <c r="AI33" s="186"/>
      <c r="AJ33" s="186"/>
      <c r="AK33" s="186"/>
      <c r="AL33" s="186"/>
      <c r="AM33" s="186"/>
      <c r="AN33" s="186"/>
      <c r="AO33" s="186"/>
      <c r="AP33" s="186"/>
      <c r="AQ33" s="186"/>
    </row>
    <row r="34" spans="1:43" ht="12.75" customHeight="1" x14ac:dyDescent="0.2">
      <c r="I34" s="76"/>
      <c r="AE34" s="186"/>
      <c r="AF34" s="186"/>
      <c r="AG34" s="186"/>
      <c r="AH34" s="186"/>
      <c r="AI34" s="186"/>
      <c r="AJ34" s="186"/>
      <c r="AK34" s="186"/>
      <c r="AL34" s="186"/>
      <c r="AM34" s="186"/>
      <c r="AN34" s="186"/>
      <c r="AO34" s="186"/>
      <c r="AP34" s="186"/>
      <c r="AQ34" s="186"/>
    </row>
    <row r="35" spans="1:43" ht="12.75" customHeight="1" x14ac:dyDescent="0.2">
      <c r="A35" s="76"/>
      <c r="B35" s="76"/>
      <c r="C35" s="76"/>
      <c r="D35" s="76"/>
      <c r="E35" s="76"/>
      <c r="F35" s="76"/>
      <c r="G35" s="76"/>
      <c r="H35" s="76"/>
      <c r="I35" s="76"/>
      <c r="AE35" s="186"/>
      <c r="AF35" s="186"/>
      <c r="AG35" s="186"/>
      <c r="AH35" s="186"/>
      <c r="AI35" s="186"/>
      <c r="AJ35" s="186"/>
      <c r="AK35" s="186"/>
      <c r="AL35" s="186"/>
      <c r="AM35" s="186"/>
      <c r="AN35" s="186"/>
      <c r="AO35" s="186"/>
      <c r="AP35" s="186"/>
      <c r="AQ35" s="186"/>
    </row>
    <row r="36" spans="1:43" ht="12.75" customHeight="1" x14ac:dyDescent="0.2">
      <c r="A36" s="76"/>
      <c r="B36" s="76"/>
      <c r="C36" s="76"/>
      <c r="D36" s="76"/>
      <c r="E36" s="76"/>
      <c r="F36" s="76"/>
      <c r="G36" s="76"/>
      <c r="H36" s="76"/>
      <c r="I36" s="76"/>
      <c r="AE36" s="186"/>
      <c r="AF36" s="186"/>
      <c r="AG36" s="186"/>
      <c r="AH36" s="186"/>
      <c r="AI36" s="186"/>
      <c r="AJ36" s="186"/>
      <c r="AK36" s="186"/>
      <c r="AL36" s="186"/>
      <c r="AM36" s="186"/>
      <c r="AN36" s="186"/>
      <c r="AO36" s="186"/>
      <c r="AP36" s="186"/>
      <c r="AQ36" s="186"/>
    </row>
    <row r="37" spans="1:43" x14ac:dyDescent="0.2">
      <c r="AE37" s="186"/>
      <c r="AF37" s="186"/>
      <c r="AG37" s="186"/>
      <c r="AH37" s="186"/>
      <c r="AI37" s="186"/>
      <c r="AJ37" s="186"/>
      <c r="AK37" s="186"/>
      <c r="AL37" s="186"/>
      <c r="AM37" s="186"/>
      <c r="AN37" s="186"/>
      <c r="AO37" s="186"/>
      <c r="AP37" s="186"/>
      <c r="AQ37" s="186"/>
    </row>
    <row r="38" spans="1:43" ht="21" x14ac:dyDescent="0.35">
      <c r="A38" s="78"/>
      <c r="AE38" s="186"/>
      <c r="AF38" s="186"/>
      <c r="AG38" s="186"/>
      <c r="AH38" s="186"/>
      <c r="AI38" s="186"/>
      <c r="AJ38" s="186"/>
      <c r="AK38" s="186"/>
      <c r="AL38" s="186"/>
      <c r="AM38" s="186"/>
      <c r="AN38" s="186"/>
      <c r="AO38" s="186"/>
      <c r="AP38" s="186"/>
      <c r="AQ38" s="186"/>
    </row>
    <row r="39" spans="1:43" ht="21" x14ac:dyDescent="0.35">
      <c r="A39" s="79"/>
      <c r="AE39" s="186"/>
      <c r="AF39" s="186"/>
      <c r="AG39" s="186"/>
      <c r="AH39" s="186"/>
      <c r="AI39" s="186"/>
      <c r="AJ39" s="186"/>
      <c r="AK39" s="186"/>
      <c r="AL39" s="186"/>
      <c r="AM39" s="186"/>
      <c r="AN39" s="186"/>
      <c r="AO39" s="186"/>
      <c r="AP39" s="186"/>
      <c r="AQ39" s="186"/>
    </row>
    <row r="40" spans="1:43" ht="15.75" x14ac:dyDescent="0.25">
      <c r="A40" s="80"/>
      <c r="AE40" s="186"/>
      <c r="AF40" s="186"/>
      <c r="AG40" s="186"/>
      <c r="AH40" s="186"/>
      <c r="AI40" s="186"/>
      <c r="AJ40" s="186"/>
      <c r="AK40" s="186"/>
      <c r="AL40" s="186"/>
      <c r="AM40" s="186"/>
      <c r="AN40" s="186"/>
      <c r="AO40" s="186"/>
      <c r="AP40" s="186"/>
      <c r="AQ40" s="186"/>
    </row>
    <row r="41" spans="1:43" ht="15.75" x14ac:dyDescent="0.25">
      <c r="A41" s="80"/>
      <c r="AE41" s="186"/>
      <c r="AF41" s="186"/>
      <c r="AG41" s="186"/>
      <c r="AH41" s="186"/>
      <c r="AI41" s="186"/>
      <c r="AJ41" s="186"/>
      <c r="AK41" s="186"/>
      <c r="AL41" s="186"/>
      <c r="AM41" s="186"/>
      <c r="AN41" s="186"/>
      <c r="AO41" s="186"/>
      <c r="AP41" s="186"/>
      <c r="AQ41" s="186"/>
    </row>
    <row r="42" spans="1:43" x14ac:dyDescent="0.2">
      <c r="AE42" s="186"/>
      <c r="AF42" s="186"/>
      <c r="AG42" s="186"/>
      <c r="AH42" s="186"/>
      <c r="AI42" s="186"/>
      <c r="AJ42" s="186"/>
      <c r="AK42" s="186"/>
      <c r="AL42" s="186"/>
      <c r="AM42" s="186"/>
      <c r="AN42" s="186"/>
      <c r="AO42" s="186"/>
      <c r="AP42" s="186"/>
      <c r="AQ42" s="186"/>
    </row>
    <row r="43" spans="1:43" x14ac:dyDescent="0.2">
      <c r="AE43" s="186"/>
      <c r="AF43" s="186"/>
      <c r="AG43" s="186"/>
      <c r="AH43" s="186"/>
      <c r="AI43" s="186"/>
      <c r="AJ43" s="186"/>
      <c r="AK43" s="186"/>
      <c r="AL43" s="186"/>
      <c r="AM43" s="186"/>
      <c r="AN43" s="186"/>
      <c r="AO43" s="186"/>
      <c r="AP43" s="186"/>
      <c r="AQ43" s="186"/>
    </row>
    <row r="44" spans="1:43" x14ac:dyDescent="0.2">
      <c r="AE44" s="186"/>
      <c r="AF44" s="186"/>
      <c r="AG44" s="186"/>
      <c r="AH44" s="186"/>
      <c r="AI44" s="186"/>
      <c r="AJ44" s="186"/>
      <c r="AK44" s="186"/>
      <c r="AL44" s="186"/>
      <c r="AM44" s="186"/>
      <c r="AN44" s="186"/>
      <c r="AO44" s="186"/>
      <c r="AP44" s="186"/>
      <c r="AQ44" s="186"/>
    </row>
    <row r="45" spans="1:43" x14ac:dyDescent="0.2">
      <c r="AE45" s="186"/>
      <c r="AF45" s="186"/>
      <c r="AG45" s="186"/>
      <c r="AH45" s="186"/>
      <c r="AI45" s="186"/>
      <c r="AJ45" s="186"/>
      <c r="AK45" s="186"/>
      <c r="AL45" s="186"/>
      <c r="AM45" s="186"/>
      <c r="AN45" s="186"/>
      <c r="AO45" s="186"/>
      <c r="AP45" s="186"/>
      <c r="AQ45" s="186"/>
    </row>
    <row r="46" spans="1:43" x14ac:dyDescent="0.2">
      <c r="AE46" s="186"/>
      <c r="AF46" s="186"/>
      <c r="AG46" s="186"/>
      <c r="AH46" s="186"/>
      <c r="AI46" s="186"/>
      <c r="AJ46" s="186"/>
      <c r="AK46" s="186"/>
      <c r="AL46" s="186"/>
      <c r="AM46" s="186"/>
      <c r="AN46" s="186"/>
      <c r="AO46" s="186"/>
      <c r="AP46" s="186"/>
      <c r="AQ46" s="186"/>
    </row>
    <row r="47" spans="1:43" x14ac:dyDescent="0.2">
      <c r="AE47" s="186"/>
      <c r="AF47" s="186"/>
      <c r="AG47" s="186"/>
      <c r="AH47" s="186"/>
      <c r="AI47" s="186"/>
      <c r="AJ47" s="186"/>
      <c r="AK47" s="186"/>
      <c r="AL47" s="186"/>
      <c r="AM47" s="186"/>
      <c r="AN47" s="186"/>
      <c r="AO47" s="186"/>
      <c r="AP47" s="186"/>
      <c r="AQ47" s="186"/>
    </row>
    <row r="48" spans="1:43" ht="12.75" customHeight="1" x14ac:dyDescent="0.2">
      <c r="R48" s="76"/>
      <c r="S48" s="76"/>
      <c r="T48" s="76"/>
      <c r="U48" s="76"/>
      <c r="AE48" s="186"/>
      <c r="AF48" s="186"/>
      <c r="AG48" s="186"/>
      <c r="AH48" s="186"/>
      <c r="AI48" s="186"/>
      <c r="AJ48" s="186"/>
      <c r="AK48" s="186"/>
      <c r="AL48" s="186"/>
      <c r="AM48" s="186"/>
      <c r="AN48" s="186"/>
      <c r="AO48" s="186"/>
      <c r="AP48" s="186"/>
      <c r="AQ48" s="186"/>
    </row>
    <row r="49" spans="9:43" ht="21.75" customHeight="1" x14ac:dyDescent="0.2">
      <c r="R49" s="188"/>
      <c r="S49" s="188"/>
      <c r="T49" s="188"/>
      <c r="U49" s="76"/>
      <c r="AE49" s="186"/>
      <c r="AF49" s="186"/>
      <c r="AG49" s="186"/>
      <c r="AH49" s="186"/>
      <c r="AI49" s="186"/>
      <c r="AJ49" s="186"/>
      <c r="AK49" s="186"/>
      <c r="AL49" s="186"/>
      <c r="AM49" s="186"/>
      <c r="AN49" s="186"/>
      <c r="AO49" s="186"/>
      <c r="AP49" s="186"/>
      <c r="AQ49" s="186"/>
    </row>
    <row r="50" spans="9:43" ht="15.75" customHeight="1" x14ac:dyDescent="0.2">
      <c r="R50" s="76"/>
      <c r="S50" s="76"/>
      <c r="T50" s="76"/>
      <c r="U50" s="76"/>
      <c r="AE50" s="186"/>
      <c r="AF50" s="186"/>
      <c r="AG50" s="186"/>
      <c r="AH50" s="186"/>
      <c r="AI50" s="186"/>
      <c r="AJ50" s="186"/>
      <c r="AK50" s="186"/>
      <c r="AL50" s="186"/>
      <c r="AM50" s="186"/>
      <c r="AN50" s="186"/>
      <c r="AO50" s="186"/>
      <c r="AP50" s="186"/>
      <c r="AQ50" s="186"/>
    </row>
    <row r="51" spans="9:43" ht="15.75" customHeight="1" x14ac:dyDescent="0.2">
      <c r="I51">
        <v>14</v>
      </c>
      <c r="R51" s="76"/>
      <c r="S51" s="76"/>
      <c r="T51" s="76">
        <v>15</v>
      </c>
      <c r="U51" s="188"/>
      <c r="AD51">
        <v>16</v>
      </c>
      <c r="AE51" s="186"/>
      <c r="AF51" s="186"/>
      <c r="AG51" s="186"/>
      <c r="AH51" s="186"/>
      <c r="AI51" s="186"/>
      <c r="AJ51" s="186"/>
      <c r="AK51" s="186"/>
      <c r="AL51" s="186"/>
      <c r="AM51" s="186"/>
      <c r="AN51" s="186"/>
      <c r="AO51" s="186"/>
      <c r="AP51" s="186"/>
      <c r="AQ51" s="186"/>
    </row>
    <row r="52" spans="9:43" ht="18" customHeight="1" x14ac:dyDescent="0.2">
      <c r="R52" s="76"/>
      <c r="S52" s="76"/>
      <c r="T52" s="76"/>
      <c r="U52" s="76"/>
    </row>
    <row r="53" spans="9:43" ht="15.75" customHeight="1" x14ac:dyDescent="0.2"/>
    <row r="54" spans="9:43" ht="12.75" customHeight="1" x14ac:dyDescent="0.2">
      <c r="J54" s="76"/>
      <c r="K54" s="76"/>
      <c r="L54" s="76"/>
      <c r="M54" s="76"/>
      <c r="N54" s="76"/>
      <c r="O54" s="76"/>
      <c r="P54" s="76"/>
      <c r="Q54" s="76"/>
    </row>
    <row r="55" spans="9:43" ht="26.25" customHeight="1" x14ac:dyDescent="0.2"/>
  </sheetData>
  <mergeCells count="5">
    <mergeCell ref="AD11:AD12"/>
    <mergeCell ref="W11:W13"/>
    <mergeCell ref="V11:V13"/>
    <mergeCell ref="X11:Z12"/>
    <mergeCell ref="AA11:AC12"/>
  </mergeCells>
  <phoneticPr fontId="6" type="noConversion"/>
  <pageMargins left="0.78740157499999996" right="0.78740157499999996" top="0.98425196850393704" bottom="0.98425196850393704" header="0" footer="0"/>
  <pageSetup paperSize="9" scale="69" orientation="portrait" horizontalDpi="300" verticalDpi="300" r:id="rId1"/>
  <headerFooter>
    <oddHeader>&amp;L&amp;G&amp;R
RELATÓRIO DE AUTO-AVALIAÇÃO DA ESCOLA
&amp;8ANO LECTIVO 2008/09&amp;10
____________________________________________________________________________________________</oddHeader>
  </headerFooter>
  <colBreaks count="2" manualBreakCount="2">
    <brk id="9" max="1048575" man="1"/>
    <brk id="20" max="104857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1</vt:i4>
      </vt:variant>
    </vt:vector>
  </HeadingPairs>
  <TitlesOfParts>
    <vt:vector size="22" baseType="lpstr">
      <vt:lpstr>2</vt:lpstr>
      <vt:lpstr>2.1.a</vt:lpstr>
      <vt:lpstr>2.1.b</vt:lpstr>
      <vt:lpstr>Folha1</vt:lpstr>
      <vt:lpstr>3 - APROV POR ANO E DISC.</vt:lpstr>
      <vt:lpstr>4.1 MÉDIA 2º CICLO.</vt:lpstr>
      <vt:lpstr>4.2 MÉDIA 3º CICLO</vt:lpstr>
      <vt:lpstr>5 - AREAS NÃO DISC</vt:lpstr>
      <vt:lpstr>6 - ALUNOS RET. REP.</vt:lpstr>
      <vt:lpstr>9 - DISCIPLINA E COMPORTAMENTOS</vt:lpstr>
      <vt:lpstr>10 - CEF</vt:lpstr>
      <vt:lpstr>11 - ABANDONO ESCOLAR</vt:lpstr>
      <vt:lpstr>12 - APOIO EDUCATIVO</vt:lpstr>
      <vt:lpstr>13 - ALUNOS NEE</vt:lpstr>
      <vt:lpstr>14 - CLAS. PROVAS E EXAMES</vt:lpstr>
      <vt:lpstr>15-ASE</vt:lpstr>
      <vt:lpstr>16-ALUNOS ESTRANGEIROS</vt:lpstr>
      <vt:lpstr>TRIÉNIO 1</vt:lpstr>
      <vt:lpstr>TRIÉNIO 2</vt:lpstr>
      <vt:lpstr>TRIÉNIO 3</vt:lpstr>
      <vt:lpstr>TRIÉNIO 4</vt:lpstr>
      <vt:lpstr>'TRIÉNIO 3'!Área_de_Impressão</vt:lpstr>
    </vt:vector>
  </TitlesOfParts>
  <Company>Min. da Educação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 da Educação</dc:creator>
  <cp:lastModifiedBy>Jocha</cp:lastModifiedBy>
  <cp:lastPrinted>2009-07-20T11:30:40Z</cp:lastPrinted>
  <dcterms:created xsi:type="dcterms:W3CDTF">2008-07-08T09:09:46Z</dcterms:created>
  <dcterms:modified xsi:type="dcterms:W3CDTF">2016-09-21T20:44:13Z</dcterms:modified>
</cp:coreProperties>
</file>