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ml.chartshapes+xml"/>
  <Override PartName="/xl/charts/chart8.xml" ContentType="application/vnd.openxmlformats-officedocument.drawingml.chart+xml"/>
  <Override PartName="/xl/drawings/drawing4.xml" ContentType="application/vnd.openxmlformats-officedocument.drawingml.chartshapes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20" windowWidth="11340" windowHeight="8835" tabRatio="802"/>
  </bookViews>
  <sheets>
    <sheet name="INDICE" sheetId="35" r:id="rId1"/>
    <sheet name="I-JI" sheetId="21" r:id="rId2"/>
    <sheet name="II-1º ANO" sheetId="13" r:id="rId3"/>
    <sheet name="III-2º ANO" sheetId="15" r:id="rId4"/>
    <sheet name="IV-3º ANO" sheetId="17" r:id="rId5"/>
    <sheet name="V-4º ANO" sheetId="19" r:id="rId6"/>
    <sheet name="VI-5º ANO" sheetId="2" r:id="rId7"/>
    <sheet name="VII-6º ANO" sheetId="3" r:id="rId8"/>
    <sheet name="VIII-7º ANO" sheetId="4" r:id="rId9"/>
    <sheet name="IX-8º ANO" sheetId="5" r:id="rId10"/>
    <sheet name="X-9º ANO" sheetId="6" r:id="rId11"/>
    <sheet name="XI-CEF'S" sheetId="7" r:id="rId12"/>
    <sheet name="XII-RESUMO" sheetId="25" state="hidden" r:id="rId13"/>
    <sheet name="XII-SUCESSO por Ano-Escola" sheetId="47" r:id="rId14"/>
    <sheet name="XIII-SUCESSO-Ano-Disciplina" sheetId="32" r:id="rId15"/>
    <sheet name="XIV-Progressão s negativas" sheetId="46" state="hidden" r:id="rId16"/>
    <sheet name="XV-DISCIPLINAS +50%" sheetId="33" state="hidden" r:id="rId17"/>
    <sheet name="XVI-COMPARATIVO-SUCESSO-Ano" sheetId="8" state="hidden" r:id="rId18"/>
    <sheet name="XVII-SUCESSO-Escolas" sheetId="1" state="hidden" r:id="rId19"/>
    <sheet name="XVIII-F. MATERIAL e PIT" sheetId="39" state="hidden" r:id="rId20"/>
    <sheet name="XIV-PAPs,ExcFaltas,Aband,sem Ne" sheetId="49" r:id="rId21"/>
    <sheet name="XV-(IN)DISCIPLINA" sheetId="52" r:id="rId22"/>
    <sheet name="XV-INDISCIPLINA" sheetId="26" state="hidden" r:id="rId23"/>
    <sheet name="XX-METAS PAA" sheetId="27" state="hidden" r:id="rId24"/>
    <sheet name="XXI-METAS TEIP" sheetId="28" state="hidden" r:id="rId25"/>
    <sheet name="XVI-ASSESSORIAS" sheetId="30" r:id="rId26"/>
    <sheet name="XXIII-NUCLEOS" sheetId="31" state="hidden" r:id="rId27"/>
    <sheet name="XXIV-AEC" sheetId="37" state="hidden" r:id="rId28"/>
    <sheet name="XXV-EE Global" sheetId="9" state="hidden" r:id="rId29"/>
    <sheet name="XXVI-EE-JI e 1º Ciclo" sheetId="38" state="hidden" r:id="rId30"/>
    <sheet name="XXVII-EE 2º Ciclo" sheetId="10" state="hidden" r:id="rId31"/>
    <sheet name="XXVIII-EE 3º Ciclo" sheetId="11" state="hidden" r:id="rId32"/>
    <sheet name="XXIX-PLNM e APA" sheetId="36" state="hidden" r:id="rId33"/>
    <sheet name="XXX-CONTEÚDOS" sheetId="40" state="hidden" r:id="rId34"/>
    <sheet name="XXXI-ASE" sheetId="41" state="hidden" r:id="rId35"/>
    <sheet name="XXXII-Av. Extraordinária" sheetId="42" state="hidden" r:id="rId36"/>
    <sheet name="XXXIII-Q. Excelência e Valor" sheetId="43" state="hidden" r:id="rId37"/>
    <sheet name="XXXV-Exames" sheetId="45" r:id="rId38"/>
    <sheet name="XXXIV-Comparativo Exames" sheetId="44" r:id="rId39"/>
    <sheet name="XXXVI-BE" sheetId="29" state="hidden" r:id="rId40"/>
  </sheets>
  <definedNames>
    <definedName name="_xlnm.Print_Area" localSheetId="9">'IX-8º ANO'!$A$1:$AJ$27</definedName>
    <definedName name="_xlnm.Print_Area" localSheetId="20">'XIV-PAPs,ExcFaltas,Aband,sem Ne'!$A$2:$O$22</definedName>
    <definedName name="_xlnm.Print_Area" localSheetId="25">'XVI-ASSESSORIAS'!$A$7:$I$53</definedName>
    <definedName name="_xlnm.Print_Area" localSheetId="22">'XV-INDISCIPLINA'!$A$3:$AB$47</definedName>
  </definedNames>
  <calcPr calcId="145621"/>
</workbook>
</file>

<file path=xl/calcChain.xml><?xml version="1.0" encoding="utf-8"?>
<calcChain xmlns="http://schemas.openxmlformats.org/spreadsheetml/2006/main">
  <c r="N14" i="44" l="1"/>
  <c r="M14" i="44"/>
  <c r="O30" i="44"/>
  <c r="S12" i="44"/>
  <c r="K60" i="44"/>
  <c r="M60" i="44"/>
  <c r="AA24" i="3"/>
  <c r="AA25" i="3"/>
  <c r="AA26" i="3"/>
  <c r="AA27" i="3"/>
  <c r="AA28" i="3"/>
  <c r="AA23" i="3"/>
  <c r="AD24" i="3"/>
  <c r="AD25" i="3"/>
  <c r="AD26" i="3"/>
  <c r="AD27" i="3"/>
  <c r="AD28" i="3"/>
  <c r="AD23" i="3"/>
  <c r="C8" i="45"/>
  <c r="Q28" i="44"/>
  <c r="Q24" i="44"/>
  <c r="Q23" i="44"/>
  <c r="P25" i="44"/>
  <c r="F8" i="45" s="1"/>
  <c r="P26" i="44"/>
  <c r="Q26" i="44" s="1"/>
  <c r="P27" i="44"/>
  <c r="Q27" i="44" s="1"/>
  <c r="I28" i="44"/>
  <c r="I27" i="44"/>
  <c r="I26" i="44"/>
  <c r="I24" i="44"/>
  <c r="I25" i="44"/>
  <c r="I23" i="44"/>
  <c r="Q12" i="44"/>
  <c r="Q11" i="44"/>
  <c r="Q7" i="44"/>
  <c r="P8" i="44"/>
  <c r="F7" i="45" s="1"/>
  <c r="P9" i="44"/>
  <c r="Q9" i="44" s="1"/>
  <c r="P10" i="44"/>
  <c r="Q10" i="44" s="1"/>
  <c r="I12" i="44"/>
  <c r="I11" i="44"/>
  <c r="I7" i="44"/>
  <c r="H8" i="44"/>
  <c r="L21" i="45" s="1"/>
  <c r="H9" i="44"/>
  <c r="I9" i="44" s="1"/>
  <c r="H10" i="44"/>
  <c r="I10" i="44" s="1"/>
  <c r="AE24" i="3"/>
  <c r="AG24" i="3" s="1"/>
  <c r="AE25" i="3"/>
  <c r="AG25" i="3" s="1"/>
  <c r="AE26" i="3"/>
  <c r="AG26" i="3" s="1"/>
  <c r="AE27" i="3"/>
  <c r="AG27" i="3" s="1"/>
  <c r="AE28" i="3"/>
  <c r="AG28" i="3" s="1"/>
  <c r="AE23" i="3"/>
  <c r="AG23" i="3" s="1"/>
  <c r="AG20" i="6"/>
  <c r="AI20" i="6" s="1"/>
  <c r="AG21" i="6"/>
  <c r="AI21" i="6" s="1"/>
  <c r="AG22" i="6"/>
  <c r="AI22" i="6" s="1"/>
  <c r="AG19" i="6"/>
  <c r="AI19" i="6" s="1"/>
  <c r="N17" i="52"/>
  <c r="N15" i="52"/>
  <c r="N14" i="52"/>
  <c r="N13" i="52"/>
  <c r="N16" i="52" s="1"/>
  <c r="N11" i="52"/>
  <c r="N10" i="52"/>
  <c r="N12" i="52" s="1"/>
  <c r="N18" i="52" s="1"/>
  <c r="N19" i="52" s="1"/>
  <c r="Q58" i="44"/>
  <c r="Q54" i="44"/>
  <c r="Q53" i="44"/>
  <c r="I58" i="44"/>
  <c r="I53" i="44"/>
  <c r="P55" i="44"/>
  <c r="F10" i="45" s="1"/>
  <c r="P56" i="44"/>
  <c r="Q56" i="44" s="1"/>
  <c r="P57" i="44"/>
  <c r="Q57" i="44" s="1"/>
  <c r="H54" i="44"/>
  <c r="I54" i="44" s="1"/>
  <c r="H55" i="44"/>
  <c r="I55" i="44" s="1"/>
  <c r="H56" i="44"/>
  <c r="I56" i="44" s="1"/>
  <c r="H57" i="44"/>
  <c r="I57" i="44" s="1"/>
  <c r="M43" i="44"/>
  <c r="H42" i="44"/>
  <c r="I42" i="44" s="1"/>
  <c r="H41" i="44"/>
  <c r="I41" i="44" s="1"/>
  <c r="H40" i="44"/>
  <c r="I40" i="44" s="1"/>
  <c r="H39" i="44"/>
  <c r="I39" i="44" s="1"/>
  <c r="L40" i="44"/>
  <c r="M40" i="44" s="1"/>
  <c r="L42" i="44"/>
  <c r="M42" i="44" s="1"/>
  <c r="L41" i="44"/>
  <c r="M41" i="44" s="1"/>
  <c r="L39" i="44"/>
  <c r="M39" i="44" s="1"/>
  <c r="L38" i="44"/>
  <c r="F9" i="45" s="1"/>
  <c r="H43" i="44"/>
  <c r="I43" i="44" s="1"/>
  <c r="H38" i="44"/>
  <c r="C9" i="45" s="1"/>
  <c r="E13" i="47"/>
  <c r="O17" i="52"/>
  <c r="O15" i="52"/>
  <c r="O14" i="52"/>
  <c r="O13" i="52"/>
  <c r="O11" i="52"/>
  <c r="O10" i="52"/>
  <c r="N22" i="6"/>
  <c r="P22" i="5"/>
  <c r="P23" i="5"/>
  <c r="P24" i="5"/>
  <c r="P25" i="5"/>
  <c r="P21" i="5"/>
  <c r="M24" i="4"/>
  <c r="M25" i="4"/>
  <c r="M26" i="4"/>
  <c r="M27" i="4"/>
  <c r="M28" i="4"/>
  <c r="M23" i="4"/>
  <c r="L24" i="3"/>
  <c r="L25" i="3"/>
  <c r="L26" i="3"/>
  <c r="L27" i="3"/>
  <c r="L28" i="3"/>
  <c r="L23" i="3"/>
  <c r="K27" i="2"/>
  <c r="K28" i="2"/>
  <c r="K29" i="2"/>
  <c r="K26" i="2"/>
  <c r="R17" i="52"/>
  <c r="R15" i="52"/>
  <c r="R14" i="52"/>
  <c r="R13" i="52"/>
  <c r="R11" i="52"/>
  <c r="R10" i="52"/>
  <c r="Q11" i="52"/>
  <c r="Q17" i="52"/>
  <c r="Q15" i="52"/>
  <c r="Q14" i="52"/>
  <c r="Q13" i="52"/>
  <c r="Q10" i="52"/>
  <c r="K20" i="6"/>
  <c r="K21" i="6"/>
  <c r="K22" i="6"/>
  <c r="K19" i="6"/>
  <c r="I23" i="6"/>
  <c r="M22" i="5"/>
  <c r="M23" i="5"/>
  <c r="M24" i="5"/>
  <c r="M25" i="5"/>
  <c r="M21" i="5"/>
  <c r="K26" i="5"/>
  <c r="J24" i="4"/>
  <c r="J25" i="4"/>
  <c r="J26" i="4"/>
  <c r="J27" i="4"/>
  <c r="J28" i="4"/>
  <c r="J23" i="4"/>
  <c r="H29" i="4"/>
  <c r="H24" i="2"/>
  <c r="H25" i="2"/>
  <c r="H26" i="2"/>
  <c r="H27" i="2"/>
  <c r="H28" i="2"/>
  <c r="H29" i="2"/>
  <c r="H23" i="2"/>
  <c r="F30" i="2"/>
  <c r="J29" i="3"/>
  <c r="Y43" i="19"/>
  <c r="Y44" i="19"/>
  <c r="V43" i="19"/>
  <c r="V44" i="19"/>
  <c r="S43" i="19"/>
  <c r="S44" i="19"/>
  <c r="Y42" i="19"/>
  <c r="V42" i="19"/>
  <c r="S42" i="19"/>
  <c r="P43" i="19"/>
  <c r="P44" i="19"/>
  <c r="P42" i="19"/>
  <c r="V19" i="19"/>
  <c r="V20" i="19"/>
  <c r="V18" i="19"/>
  <c r="S19" i="19"/>
  <c r="S20" i="19"/>
  <c r="S18" i="19"/>
  <c r="P19" i="19"/>
  <c r="P20" i="19"/>
  <c r="P18" i="19"/>
  <c r="M19" i="19"/>
  <c r="M20" i="19"/>
  <c r="M18" i="19"/>
  <c r="T21" i="19"/>
  <c r="D11" i="47" s="1"/>
  <c r="Q21" i="19"/>
  <c r="B11" i="47" s="1"/>
  <c r="N21" i="19"/>
  <c r="K21" i="19"/>
  <c r="W45" i="19"/>
  <c r="D20" i="47" s="1"/>
  <c r="T45" i="19"/>
  <c r="B20" i="47" s="1"/>
  <c r="Q45" i="19"/>
  <c r="N45" i="19"/>
  <c r="E45" i="19"/>
  <c r="G44" i="19"/>
  <c r="G43" i="19"/>
  <c r="G42" i="19"/>
  <c r="AF20" i="6"/>
  <c r="AF21" i="6"/>
  <c r="AF22" i="6"/>
  <c r="AF19" i="6"/>
  <c r="AC21" i="6"/>
  <c r="AC22" i="6"/>
  <c r="AC20" i="6"/>
  <c r="AC19" i="6"/>
  <c r="Z20" i="6"/>
  <c r="Z21" i="6"/>
  <c r="Z22" i="6"/>
  <c r="Z19" i="6"/>
  <c r="W20" i="6"/>
  <c r="W21" i="6"/>
  <c r="W22" i="6"/>
  <c r="W19" i="6"/>
  <c r="AG23" i="6"/>
  <c r="AE29" i="3"/>
  <c r="AD23" i="6"/>
  <c r="B30" i="47" s="1"/>
  <c r="AA23" i="6"/>
  <c r="X23" i="6"/>
  <c r="U23" i="6"/>
  <c r="Y29" i="3"/>
  <c r="AB29" i="3"/>
  <c r="B27" i="47" s="1"/>
  <c r="F17" i="52"/>
  <c r="G30" i="30"/>
  <c r="F30" i="30"/>
  <c r="C30" i="30"/>
  <c r="B30" i="30"/>
  <c r="H27" i="30"/>
  <c r="I27" i="30"/>
  <c r="H28" i="30"/>
  <c r="I28" i="30"/>
  <c r="D27" i="30"/>
  <c r="E27" i="30"/>
  <c r="D28" i="30"/>
  <c r="E28" i="30"/>
  <c r="H14" i="30"/>
  <c r="I14" i="30"/>
  <c r="B16" i="30"/>
  <c r="D14" i="30"/>
  <c r="E14" i="30"/>
  <c r="O12" i="52" l="1"/>
  <c r="O18" i="52" s="1"/>
  <c r="O19" i="52" s="1"/>
  <c r="N20" i="52" s="1"/>
  <c r="O16" i="52"/>
  <c r="Q8" i="44"/>
  <c r="I38" i="44"/>
  <c r="M38" i="44"/>
  <c r="M45" i="44" s="1"/>
  <c r="Q55" i="44"/>
  <c r="Q60" i="44" s="1"/>
  <c r="C10" i="45"/>
  <c r="I8" i="44"/>
  <c r="Q25" i="44"/>
  <c r="L37" i="45"/>
  <c r="C7" i="45"/>
  <c r="H23" i="21"/>
  <c r="R16" i="52"/>
  <c r="Q16" i="52"/>
  <c r="R12" i="52"/>
  <c r="Q12" i="52"/>
  <c r="R9" i="52"/>
  <c r="Q9" i="52"/>
  <c r="E22" i="47"/>
  <c r="R18" i="52" l="1"/>
  <c r="R19" i="52" s="1"/>
  <c r="Q18" i="52"/>
  <c r="Q19" i="52" s="1"/>
  <c r="H14" i="52"/>
  <c r="H13" i="52"/>
  <c r="E15" i="52"/>
  <c r="E14" i="52"/>
  <c r="E13" i="52"/>
  <c r="E10" i="52"/>
  <c r="V18" i="7"/>
  <c r="V19" i="7"/>
  <c r="V20" i="7"/>
  <c r="V17" i="7"/>
  <c r="T21" i="7"/>
  <c r="K20" i="49" s="1"/>
  <c r="G52" i="30"/>
  <c r="F52" i="30"/>
  <c r="C52" i="30"/>
  <c r="B52" i="30"/>
  <c r="H49" i="30"/>
  <c r="H48" i="30"/>
  <c r="H47" i="30"/>
  <c r="H46" i="30"/>
  <c r="H44" i="30"/>
  <c r="H43" i="30"/>
  <c r="H42" i="30"/>
  <c r="H40" i="30"/>
  <c r="H39" i="30"/>
  <c r="H38" i="30"/>
  <c r="D44" i="30"/>
  <c r="D42" i="30"/>
  <c r="D40" i="30"/>
  <c r="D38" i="30"/>
  <c r="H36" i="30"/>
  <c r="H35" i="30"/>
  <c r="D35" i="30"/>
  <c r="G50" i="30"/>
  <c r="F50" i="30"/>
  <c r="C50" i="30"/>
  <c r="B50" i="30"/>
  <c r="D50" i="30" s="1"/>
  <c r="J12" i="5"/>
  <c r="Z18" i="7"/>
  <c r="Z19" i="7"/>
  <c r="Z20" i="7"/>
  <c r="Z17" i="7"/>
  <c r="AC22" i="5"/>
  <c r="AC23" i="5"/>
  <c r="AC24" i="5"/>
  <c r="AC25" i="5"/>
  <c r="AC21" i="5"/>
  <c r="Z24" i="4"/>
  <c r="Z25" i="4"/>
  <c r="Z26" i="4"/>
  <c r="Z27" i="4"/>
  <c r="Z28" i="4"/>
  <c r="Z23" i="4"/>
  <c r="X24" i="2"/>
  <c r="X25" i="2"/>
  <c r="X26" i="2"/>
  <c r="Z26" i="2" s="1"/>
  <c r="X27" i="2"/>
  <c r="Z27" i="2" s="1"/>
  <c r="X28" i="2"/>
  <c r="Z28" i="2" s="1"/>
  <c r="X29" i="2"/>
  <c r="Z29" i="2" s="1"/>
  <c r="X23" i="2"/>
  <c r="D11" i="6"/>
  <c r="D10" i="6"/>
  <c r="F11" i="6"/>
  <c r="F10" i="6"/>
  <c r="E13" i="6"/>
  <c r="F13" i="6" s="1"/>
  <c r="C26" i="32" s="1"/>
  <c r="F15" i="5"/>
  <c r="C25" i="32" s="1"/>
  <c r="E15" i="5"/>
  <c r="D12" i="5"/>
  <c r="F12" i="5"/>
  <c r="D15" i="4"/>
  <c r="F15" i="4"/>
  <c r="E17" i="4"/>
  <c r="F17" i="4" s="1"/>
  <c r="C24" i="32" s="1"/>
  <c r="E16" i="3"/>
  <c r="F16" i="3" s="1"/>
  <c r="D19" i="32" s="1"/>
  <c r="F10" i="3"/>
  <c r="D10" i="3"/>
  <c r="D14" i="2"/>
  <c r="D16" i="2"/>
  <c r="F14" i="2"/>
  <c r="F16" i="2"/>
  <c r="E17" i="2"/>
  <c r="D20" i="32" s="1"/>
  <c r="AB11" i="4"/>
  <c r="AB12" i="4"/>
  <c r="AB14" i="4"/>
  <c r="AB15" i="4"/>
  <c r="AB16" i="4"/>
  <c r="AB13" i="4"/>
  <c r="X14" i="3"/>
  <c r="X10" i="2"/>
  <c r="U16" i="52"/>
  <c r="U12" i="52"/>
  <c r="T12" i="52"/>
  <c r="U9" i="52"/>
  <c r="T9" i="52"/>
  <c r="X16" i="2"/>
  <c r="AB11" i="6"/>
  <c r="J11" i="15"/>
  <c r="L16" i="52"/>
  <c r="K16" i="52"/>
  <c r="I16" i="52"/>
  <c r="H16" i="52"/>
  <c r="F16" i="52"/>
  <c r="E16" i="52"/>
  <c r="L12" i="52"/>
  <c r="L18" i="52" s="1"/>
  <c r="K12" i="52"/>
  <c r="K18" i="52" s="1"/>
  <c r="F12" i="52"/>
  <c r="E12" i="52"/>
  <c r="L9" i="52"/>
  <c r="L19" i="52" s="1"/>
  <c r="K9" i="52"/>
  <c r="K19" i="52" s="1"/>
  <c r="I9" i="52"/>
  <c r="H9" i="52"/>
  <c r="F9" i="52"/>
  <c r="E9" i="52"/>
  <c r="H29" i="30"/>
  <c r="H26" i="30"/>
  <c r="H25" i="30"/>
  <c r="H24" i="30"/>
  <c r="H23" i="30"/>
  <c r="H21" i="30"/>
  <c r="I26" i="30"/>
  <c r="D25" i="30"/>
  <c r="D29" i="30"/>
  <c r="D26" i="30"/>
  <c r="D24" i="30"/>
  <c r="D23" i="30"/>
  <c r="D21" i="30"/>
  <c r="E26" i="30"/>
  <c r="H15" i="30"/>
  <c r="H13" i="30"/>
  <c r="H12" i="30"/>
  <c r="D15" i="30"/>
  <c r="D13" i="30"/>
  <c r="D12" i="30"/>
  <c r="I15" i="30"/>
  <c r="E15" i="30"/>
  <c r="E52" i="30" l="1"/>
  <c r="F17" i="2"/>
  <c r="D18" i="32" s="1"/>
  <c r="C27" i="32"/>
  <c r="F18" i="52"/>
  <c r="U18" i="52"/>
  <c r="U19" i="52" s="1"/>
  <c r="Q20" i="52"/>
  <c r="K20" i="52"/>
  <c r="T16" i="52"/>
  <c r="T18" i="52" s="1"/>
  <c r="T19" i="52" s="1"/>
  <c r="E18" i="52"/>
  <c r="I50" i="30"/>
  <c r="H12" i="52"/>
  <c r="I12" i="52"/>
  <c r="AB18" i="7"/>
  <c r="AB19" i="7"/>
  <c r="AB20" i="7"/>
  <c r="AB17" i="7"/>
  <c r="Y18" i="7"/>
  <c r="Y19" i="7"/>
  <c r="Y20" i="7"/>
  <c r="Y17" i="7"/>
  <c r="Z21" i="7"/>
  <c r="H56" i="47" s="1"/>
  <c r="W21" i="7"/>
  <c r="F56" i="47" s="1"/>
  <c r="AE22" i="5"/>
  <c r="AE23" i="5"/>
  <c r="AE24" i="5"/>
  <c r="AE25" i="5"/>
  <c r="AE21" i="5"/>
  <c r="AC26" i="5"/>
  <c r="D29" i="47" s="1"/>
  <c r="H54" i="47" s="1"/>
  <c r="AB24" i="4"/>
  <c r="AB25" i="4"/>
  <c r="AB26" i="4"/>
  <c r="AB27" i="4"/>
  <c r="AB28" i="4"/>
  <c r="AB23" i="4"/>
  <c r="Z29" i="4"/>
  <c r="D28" i="47" s="1"/>
  <c r="Z24" i="2"/>
  <c r="Z25" i="2"/>
  <c r="Z23" i="2"/>
  <c r="X30" i="2"/>
  <c r="D26" i="47" s="1"/>
  <c r="H51" i="47" s="1"/>
  <c r="F19" i="52" l="1"/>
  <c r="T20" i="52"/>
  <c r="I18" i="52"/>
  <c r="I19" i="52" s="1"/>
  <c r="E19" i="52"/>
  <c r="E20" i="52" s="1"/>
  <c r="G56" i="47"/>
  <c r="I56" i="47" s="1"/>
  <c r="H53" i="47"/>
  <c r="H18" i="52"/>
  <c r="H19" i="52" l="1"/>
  <c r="H20" i="52" s="1"/>
  <c r="E40" i="30"/>
  <c r="I40" i="30"/>
  <c r="I47" i="30"/>
  <c r="I48" i="30"/>
  <c r="I49" i="30"/>
  <c r="D11" i="7"/>
  <c r="F11" i="7"/>
  <c r="H11" i="7"/>
  <c r="D9" i="7"/>
  <c r="D10" i="7"/>
  <c r="L10" i="6"/>
  <c r="G16" i="3"/>
  <c r="X15" i="3"/>
  <c r="X11" i="3"/>
  <c r="X10" i="3"/>
  <c r="X12" i="2"/>
  <c r="X11" i="2"/>
  <c r="X13" i="2"/>
  <c r="X14" i="2"/>
  <c r="I43" i="30"/>
  <c r="B41" i="30" l="1"/>
  <c r="C41" i="30"/>
  <c r="E51" i="30"/>
  <c r="E38" i="30"/>
  <c r="G45" i="30"/>
  <c r="F45" i="30"/>
  <c r="C45" i="30"/>
  <c r="B45" i="30"/>
  <c r="E44" i="30"/>
  <c r="E42" i="30"/>
  <c r="I38" i="30"/>
  <c r="H22" i="30"/>
  <c r="D22" i="30"/>
  <c r="J12" i="49"/>
  <c r="H12" i="49"/>
  <c r="G25" i="21"/>
  <c r="G13" i="21"/>
  <c r="H24" i="21" s="1"/>
  <c r="M12" i="49"/>
  <c r="T62" i="26"/>
  <c r="T63" i="26"/>
  <c r="T64" i="26"/>
  <c r="T66" i="26"/>
  <c r="M57" i="26"/>
  <c r="L57" i="26"/>
  <c r="J57" i="26"/>
  <c r="I57" i="26"/>
  <c r="T56" i="26"/>
  <c r="T54" i="26"/>
  <c r="T55" i="26"/>
  <c r="T53" i="26"/>
  <c r="N60" i="26"/>
  <c r="N59" i="26"/>
  <c r="Q56" i="26"/>
  <c r="Q55" i="26"/>
  <c r="Q66" i="26"/>
  <c r="Q64" i="26"/>
  <c r="Q63" i="26"/>
  <c r="Q62" i="26"/>
  <c r="N66" i="26"/>
  <c r="N64" i="26"/>
  <c r="N63" i="26"/>
  <c r="N62" i="26"/>
  <c r="G57" i="26"/>
  <c r="AF16" i="4"/>
  <c r="AF15" i="4"/>
  <c r="AF14" i="4"/>
  <c r="AF13" i="4"/>
  <c r="AF12" i="4"/>
  <c r="AF11" i="4"/>
  <c r="S65" i="26"/>
  <c r="P65" i="26"/>
  <c r="M61" i="26"/>
  <c r="M65" i="26"/>
  <c r="G61" i="26"/>
  <c r="G65" i="26"/>
  <c r="D51" i="30"/>
  <c r="I36" i="30"/>
  <c r="G37" i="30"/>
  <c r="F37" i="30"/>
  <c r="I35" i="30"/>
  <c r="E35" i="30"/>
  <c r="P42" i="17"/>
  <c r="P43" i="17"/>
  <c r="P41" i="17"/>
  <c r="M42" i="17"/>
  <c r="M43" i="17"/>
  <c r="M41" i="17"/>
  <c r="J42" i="17"/>
  <c r="J43" i="17"/>
  <c r="J41" i="17"/>
  <c r="G42" i="17"/>
  <c r="G43" i="17"/>
  <c r="G41" i="17"/>
  <c r="D42" i="17"/>
  <c r="D43" i="17"/>
  <c r="D41" i="17"/>
  <c r="S57" i="26"/>
  <c r="R57" i="26"/>
  <c r="P57" i="26"/>
  <c r="O57" i="26"/>
  <c r="K18" i="49"/>
  <c r="M43" i="19"/>
  <c r="M44" i="19"/>
  <c r="M42" i="19"/>
  <c r="J43" i="19"/>
  <c r="J44" i="19"/>
  <c r="J42" i="19"/>
  <c r="D43" i="19"/>
  <c r="D44" i="19"/>
  <c r="D42" i="19"/>
  <c r="J19" i="19"/>
  <c r="J20" i="19"/>
  <c r="J18" i="19"/>
  <c r="G19" i="19"/>
  <c r="G20" i="19"/>
  <c r="G18" i="19"/>
  <c r="D19" i="19"/>
  <c r="D20" i="19"/>
  <c r="D18" i="19"/>
  <c r="P19" i="17"/>
  <c r="P20" i="17"/>
  <c r="P18" i="17"/>
  <c r="M19" i="17"/>
  <c r="M20" i="17"/>
  <c r="M18" i="17"/>
  <c r="J19" i="17"/>
  <c r="J20" i="17"/>
  <c r="J18" i="17"/>
  <c r="G19" i="17"/>
  <c r="G20" i="17"/>
  <c r="G18" i="17"/>
  <c r="D19" i="17"/>
  <c r="D20" i="17"/>
  <c r="D18" i="17"/>
  <c r="P41" i="15"/>
  <c r="P42" i="15"/>
  <c r="P40" i="15"/>
  <c r="M41" i="15"/>
  <c r="M42" i="15"/>
  <c r="M40" i="15"/>
  <c r="J41" i="15"/>
  <c r="J42" i="15"/>
  <c r="J40" i="15"/>
  <c r="M19" i="15"/>
  <c r="M20" i="15"/>
  <c r="M18" i="15"/>
  <c r="J19" i="15"/>
  <c r="J20" i="15"/>
  <c r="P19" i="15"/>
  <c r="P20" i="15"/>
  <c r="P18" i="15"/>
  <c r="G20" i="15"/>
  <c r="G19" i="15"/>
  <c r="G18" i="15"/>
  <c r="J18" i="15"/>
  <c r="G42" i="15"/>
  <c r="G41" i="15"/>
  <c r="G40" i="15"/>
  <c r="D42" i="15"/>
  <c r="D41" i="15"/>
  <c r="D40" i="15"/>
  <c r="D20" i="15"/>
  <c r="D19" i="15"/>
  <c r="D18" i="15"/>
  <c r="P38" i="13"/>
  <c r="P37" i="13"/>
  <c r="P36" i="13"/>
  <c r="M38" i="13"/>
  <c r="M37" i="13"/>
  <c r="M36" i="13"/>
  <c r="N39" i="13"/>
  <c r="B17" i="47" s="1"/>
  <c r="J38" i="13"/>
  <c r="J37" i="13"/>
  <c r="J36" i="13"/>
  <c r="G38" i="13"/>
  <c r="G37" i="13"/>
  <c r="G36" i="13"/>
  <c r="D38" i="13"/>
  <c r="D37" i="13"/>
  <c r="D36" i="13"/>
  <c r="M17" i="13"/>
  <c r="M16" i="13"/>
  <c r="J17" i="13"/>
  <c r="J16" i="13"/>
  <c r="G17" i="13"/>
  <c r="G16" i="13"/>
  <c r="D17" i="13"/>
  <c r="D16" i="13"/>
  <c r="P17" i="13"/>
  <c r="P16" i="13"/>
  <c r="K45" i="19"/>
  <c r="H45" i="19"/>
  <c r="B45" i="19"/>
  <c r="H21" i="19"/>
  <c r="E21" i="19"/>
  <c r="B21" i="19"/>
  <c r="N44" i="17"/>
  <c r="B19" i="47" s="1"/>
  <c r="K44" i="17"/>
  <c r="H44" i="17"/>
  <c r="E44" i="17"/>
  <c r="B44" i="17"/>
  <c r="N21" i="17"/>
  <c r="B10" i="47" s="1"/>
  <c r="K21" i="17"/>
  <c r="K10" i="49" s="1"/>
  <c r="H21" i="17"/>
  <c r="E21" i="17"/>
  <c r="I10" i="49" s="1"/>
  <c r="B21" i="17"/>
  <c r="N43" i="15"/>
  <c r="B18" i="47" s="1"/>
  <c r="K43" i="15"/>
  <c r="H43" i="15"/>
  <c r="E43" i="15"/>
  <c r="B43" i="15"/>
  <c r="N21" i="15"/>
  <c r="B9" i="47" s="1"/>
  <c r="K21" i="15"/>
  <c r="K9" i="49" s="1"/>
  <c r="H21" i="15"/>
  <c r="E21" i="15"/>
  <c r="I9" i="49" s="1"/>
  <c r="B21" i="15"/>
  <c r="K39" i="13"/>
  <c r="H39" i="13"/>
  <c r="E39" i="13"/>
  <c r="B39" i="13"/>
  <c r="N18" i="13"/>
  <c r="B8" i="47" s="1"/>
  <c r="K18" i="13"/>
  <c r="H18" i="13"/>
  <c r="E18" i="13"/>
  <c r="B18" i="13"/>
  <c r="G8" i="49" s="1"/>
  <c r="U30" i="2"/>
  <c r="B26" i="47" s="1"/>
  <c r="F51" i="47" s="1"/>
  <c r="AD11" i="7"/>
  <c r="AB11" i="7"/>
  <c r="T11" i="7"/>
  <c r="R10" i="7"/>
  <c r="X10" i="7"/>
  <c r="AJ9" i="7"/>
  <c r="AH9" i="7"/>
  <c r="AF9" i="7"/>
  <c r="R9" i="7"/>
  <c r="Z8" i="7"/>
  <c r="T20" i="6"/>
  <c r="T21" i="6"/>
  <c r="T22" i="6"/>
  <c r="Q20" i="6"/>
  <c r="Q21" i="6"/>
  <c r="Q22" i="6"/>
  <c r="T19" i="6"/>
  <c r="Q19" i="6"/>
  <c r="F55" i="47"/>
  <c r="R23" i="6"/>
  <c r="E18" i="49" s="1"/>
  <c r="O23" i="6"/>
  <c r="L23" i="6"/>
  <c r="X10" i="6"/>
  <c r="X11" i="6"/>
  <c r="X12" i="6"/>
  <c r="X9" i="6"/>
  <c r="V12" i="6"/>
  <c r="J11" i="6"/>
  <c r="AB10" i="6"/>
  <c r="L9" i="6"/>
  <c r="AB9" i="6"/>
  <c r="AB22" i="5"/>
  <c r="AB23" i="5"/>
  <c r="AB24" i="5"/>
  <c r="AB25" i="5"/>
  <c r="AB21" i="5"/>
  <c r="Y22" i="5"/>
  <c r="Y23" i="5"/>
  <c r="Y24" i="5"/>
  <c r="Y25" i="5"/>
  <c r="Y21" i="5"/>
  <c r="S22" i="5"/>
  <c r="S23" i="5"/>
  <c r="S24" i="5"/>
  <c r="S25" i="5"/>
  <c r="S21" i="5"/>
  <c r="V22" i="5"/>
  <c r="V23" i="5"/>
  <c r="V24" i="5"/>
  <c r="V25" i="5"/>
  <c r="V21" i="5"/>
  <c r="Z26" i="5"/>
  <c r="B29" i="47" s="1"/>
  <c r="F54" i="47" s="1"/>
  <c r="W26" i="5"/>
  <c r="K17" i="49" s="1"/>
  <c r="T26" i="5"/>
  <c r="E17" i="49" s="1"/>
  <c r="Q26" i="5"/>
  <c r="I17" i="49" s="1"/>
  <c r="N26" i="5"/>
  <c r="AF12" i="5"/>
  <c r="AF10" i="5"/>
  <c r="AF14" i="5"/>
  <c r="AF13" i="5"/>
  <c r="L11" i="5"/>
  <c r="AH11" i="5"/>
  <c r="AH12" i="5"/>
  <c r="AH13" i="5"/>
  <c r="AH14" i="5"/>
  <c r="AH10" i="5"/>
  <c r="L12" i="5"/>
  <c r="AD13" i="4"/>
  <c r="AD12" i="4"/>
  <c r="AD11" i="4"/>
  <c r="AD16" i="4"/>
  <c r="AD15" i="4"/>
  <c r="Y24" i="4"/>
  <c r="Y25" i="4"/>
  <c r="Y26" i="4"/>
  <c r="Y27" i="4"/>
  <c r="Y28" i="4"/>
  <c r="V24" i="4"/>
  <c r="V25" i="4"/>
  <c r="V26" i="4"/>
  <c r="V27" i="4"/>
  <c r="V28" i="4"/>
  <c r="Y23" i="4"/>
  <c r="V23" i="4"/>
  <c r="S24" i="4"/>
  <c r="S25" i="4"/>
  <c r="S26" i="4"/>
  <c r="S27" i="4"/>
  <c r="S28" i="4"/>
  <c r="S23" i="4"/>
  <c r="P24" i="4"/>
  <c r="P25" i="4"/>
  <c r="P26" i="4"/>
  <c r="P27" i="4"/>
  <c r="P28" i="4"/>
  <c r="P23" i="4"/>
  <c r="W29" i="4"/>
  <c r="B28" i="47" s="1"/>
  <c r="T29" i="4"/>
  <c r="K16" i="49" s="1"/>
  <c r="Q29" i="4"/>
  <c r="E16" i="49" s="1"/>
  <c r="E19" i="49" s="1"/>
  <c r="N29" i="4"/>
  <c r="K29" i="4"/>
  <c r="X15" i="2"/>
  <c r="X13" i="3"/>
  <c r="I23" i="3"/>
  <c r="Z11" i="3"/>
  <c r="Z12" i="3"/>
  <c r="Z13" i="3"/>
  <c r="Z14" i="3"/>
  <c r="Z15" i="3"/>
  <c r="Z10" i="3"/>
  <c r="X24" i="3"/>
  <c r="X25" i="3"/>
  <c r="X26" i="3"/>
  <c r="X27" i="3"/>
  <c r="X28" i="3"/>
  <c r="U24" i="3"/>
  <c r="U25" i="3"/>
  <c r="U26" i="3"/>
  <c r="U27" i="3"/>
  <c r="U28" i="3"/>
  <c r="R24" i="3"/>
  <c r="R25" i="3"/>
  <c r="R26" i="3"/>
  <c r="R27" i="3"/>
  <c r="R28" i="3"/>
  <c r="O24" i="3"/>
  <c r="O25" i="3"/>
  <c r="O26" i="3"/>
  <c r="O27" i="3"/>
  <c r="O28" i="3"/>
  <c r="I24" i="3"/>
  <c r="I25" i="3"/>
  <c r="I26" i="3"/>
  <c r="I27" i="3"/>
  <c r="I28" i="3"/>
  <c r="X23" i="3"/>
  <c r="U23" i="3"/>
  <c r="R23" i="3"/>
  <c r="O23" i="3"/>
  <c r="V29" i="3"/>
  <c r="S29" i="3"/>
  <c r="P29" i="3"/>
  <c r="E14" i="49" s="1"/>
  <c r="M29" i="3"/>
  <c r="G29" i="3"/>
  <c r="G14" i="49" s="1"/>
  <c r="Y16" i="3"/>
  <c r="I30" i="2"/>
  <c r="W24" i="2"/>
  <c r="W25" i="2"/>
  <c r="W26" i="2"/>
  <c r="W27" i="2"/>
  <c r="W28" i="2"/>
  <c r="W29" i="2"/>
  <c r="T24" i="2"/>
  <c r="T25" i="2"/>
  <c r="T26" i="2"/>
  <c r="T27" i="2"/>
  <c r="T28" i="2"/>
  <c r="T29" i="2"/>
  <c r="Q24" i="2"/>
  <c r="Q25" i="2"/>
  <c r="Q26" i="2"/>
  <c r="Q27" i="2"/>
  <c r="Q28" i="2"/>
  <c r="Q29" i="2"/>
  <c r="N24" i="2"/>
  <c r="N25" i="2"/>
  <c r="N26" i="2"/>
  <c r="N27" i="2"/>
  <c r="N28" i="2"/>
  <c r="N29" i="2"/>
  <c r="W23" i="2"/>
  <c r="T23" i="2"/>
  <c r="Q23" i="2"/>
  <c r="N23" i="2"/>
  <c r="R30" i="2"/>
  <c r="K13" i="49" s="1"/>
  <c r="O30" i="2"/>
  <c r="E13" i="49" s="1"/>
  <c r="L30" i="2"/>
  <c r="I13" i="49" s="1"/>
  <c r="Y17" i="2"/>
  <c r="W17" i="2"/>
  <c r="X17" i="2" s="1"/>
  <c r="U17" i="2"/>
  <c r="S17" i="2"/>
  <c r="Q17" i="2"/>
  <c r="O17" i="2"/>
  <c r="M17" i="2"/>
  <c r="K17" i="2"/>
  <c r="I17" i="2"/>
  <c r="G17" i="2"/>
  <c r="C17" i="2"/>
  <c r="Z11" i="2"/>
  <c r="Z12" i="2"/>
  <c r="Z13" i="2"/>
  <c r="Z14" i="2"/>
  <c r="Z15" i="2"/>
  <c r="Z16" i="2"/>
  <c r="Z10" i="2"/>
  <c r="B17" i="2"/>
  <c r="D8" i="31"/>
  <c r="D16" i="31" s="1"/>
  <c r="E16" i="31" s="1"/>
  <c r="D14" i="31"/>
  <c r="E14" i="31"/>
  <c r="M33" i="36"/>
  <c r="M31" i="36"/>
  <c r="M36" i="36"/>
  <c r="C36" i="36"/>
  <c r="I13" i="30"/>
  <c r="E13" i="30"/>
  <c r="O9" i="36"/>
  <c r="D9" i="13"/>
  <c r="F9" i="13"/>
  <c r="H9" i="13"/>
  <c r="J9" i="13"/>
  <c r="L9" i="13"/>
  <c r="D10" i="13"/>
  <c r="F10" i="13"/>
  <c r="H10" i="13"/>
  <c r="J10" i="13"/>
  <c r="L10" i="13"/>
  <c r="B11" i="13"/>
  <c r="C11" i="13"/>
  <c r="E11" i="13"/>
  <c r="F11" i="13" s="1"/>
  <c r="C7" i="32" s="1"/>
  <c r="G11" i="13"/>
  <c r="I11" i="13"/>
  <c r="J11" i="13" s="1"/>
  <c r="E7" i="32" s="1"/>
  <c r="K11" i="13"/>
  <c r="D28" i="13"/>
  <c r="F28" i="13"/>
  <c r="H28" i="13"/>
  <c r="J28" i="13"/>
  <c r="L28" i="13"/>
  <c r="D29" i="13"/>
  <c r="F29" i="13"/>
  <c r="H29" i="13"/>
  <c r="J29" i="13"/>
  <c r="L29" i="13"/>
  <c r="D30" i="13"/>
  <c r="F30" i="13"/>
  <c r="H30" i="13"/>
  <c r="J30" i="13"/>
  <c r="L30" i="13"/>
  <c r="B31" i="13"/>
  <c r="C31" i="13"/>
  <c r="E31" i="13"/>
  <c r="F31" i="13" s="1"/>
  <c r="M7" i="32" s="1"/>
  <c r="G31" i="13"/>
  <c r="I31" i="13"/>
  <c r="K31" i="13"/>
  <c r="K36" i="19"/>
  <c r="I36" i="19"/>
  <c r="G36" i="19"/>
  <c r="E36" i="19"/>
  <c r="G45" i="19" s="1"/>
  <c r="C36" i="19"/>
  <c r="B36" i="19"/>
  <c r="L35" i="19"/>
  <c r="J35" i="19"/>
  <c r="H35" i="19"/>
  <c r="F35" i="19"/>
  <c r="D35" i="19"/>
  <c r="L34" i="19"/>
  <c r="J34" i="19"/>
  <c r="H34" i="19"/>
  <c r="F34" i="19"/>
  <c r="D34" i="19"/>
  <c r="L33" i="19"/>
  <c r="J33" i="19"/>
  <c r="H33" i="19"/>
  <c r="F33" i="19"/>
  <c r="D33" i="19"/>
  <c r="K12" i="19"/>
  <c r="I12" i="19"/>
  <c r="G12" i="19"/>
  <c r="E12" i="19"/>
  <c r="C12" i="19"/>
  <c r="K21" i="45" s="1"/>
  <c r="B12" i="19"/>
  <c r="L11" i="19"/>
  <c r="J11" i="19"/>
  <c r="H11" i="19"/>
  <c r="F11" i="19"/>
  <c r="D11" i="19"/>
  <c r="L10" i="19"/>
  <c r="J10" i="19"/>
  <c r="H10" i="19"/>
  <c r="F10" i="19"/>
  <c r="D10" i="19"/>
  <c r="L9" i="19"/>
  <c r="J9" i="19"/>
  <c r="H9" i="19"/>
  <c r="F9" i="19"/>
  <c r="D9" i="19"/>
  <c r="K35" i="17"/>
  <c r="I35" i="17"/>
  <c r="G35" i="17"/>
  <c r="E35" i="17"/>
  <c r="C35" i="17"/>
  <c r="B35" i="17"/>
  <c r="L34" i="17"/>
  <c r="J34" i="17"/>
  <c r="H34" i="17"/>
  <c r="F34" i="17"/>
  <c r="D34" i="17"/>
  <c r="L33" i="17"/>
  <c r="J33" i="17"/>
  <c r="H33" i="17"/>
  <c r="F33" i="17"/>
  <c r="D33" i="17"/>
  <c r="L32" i="17"/>
  <c r="J32" i="17"/>
  <c r="H32" i="17"/>
  <c r="F32" i="17"/>
  <c r="D32" i="17"/>
  <c r="K12" i="17"/>
  <c r="I12" i="17"/>
  <c r="G12" i="17"/>
  <c r="E12" i="17"/>
  <c r="C12" i="17"/>
  <c r="B12" i="17"/>
  <c r="L11" i="17"/>
  <c r="J11" i="17"/>
  <c r="H11" i="17"/>
  <c r="F11" i="17"/>
  <c r="D11" i="17"/>
  <c r="L10" i="17"/>
  <c r="J10" i="17"/>
  <c r="H10" i="17"/>
  <c r="F10" i="17"/>
  <c r="D10" i="17"/>
  <c r="L9" i="17"/>
  <c r="J9" i="17"/>
  <c r="H9" i="17"/>
  <c r="F9" i="17"/>
  <c r="D9" i="17"/>
  <c r="D33" i="15"/>
  <c r="F33" i="15"/>
  <c r="H33" i="15"/>
  <c r="J33" i="15"/>
  <c r="L33" i="15"/>
  <c r="K34" i="15"/>
  <c r="I34" i="15"/>
  <c r="G34" i="15"/>
  <c r="E34" i="15"/>
  <c r="C34" i="15"/>
  <c r="B34" i="15"/>
  <c r="L32" i="15"/>
  <c r="J32" i="15"/>
  <c r="H32" i="15"/>
  <c r="F32" i="15"/>
  <c r="D32" i="15"/>
  <c r="L31" i="15"/>
  <c r="J31" i="15"/>
  <c r="H31" i="15"/>
  <c r="F31" i="15"/>
  <c r="D31" i="15"/>
  <c r="K12" i="15"/>
  <c r="I12" i="15"/>
  <c r="G12" i="15"/>
  <c r="E12" i="15"/>
  <c r="C12" i="15"/>
  <c r="B12" i="15"/>
  <c r="L11" i="15"/>
  <c r="H11" i="15"/>
  <c r="F11" i="15"/>
  <c r="D11" i="15"/>
  <c r="L10" i="15"/>
  <c r="J10" i="15"/>
  <c r="H10" i="15"/>
  <c r="F10" i="15"/>
  <c r="D10" i="15"/>
  <c r="L9" i="15"/>
  <c r="J9" i="15"/>
  <c r="H9" i="15"/>
  <c r="F9" i="15"/>
  <c r="D9" i="15"/>
  <c r="H12" i="19"/>
  <c r="D10" i="32" s="1"/>
  <c r="H12" i="17"/>
  <c r="D9" i="32" s="1"/>
  <c r="L35" i="17"/>
  <c r="P9" i="32" s="1"/>
  <c r="J12" i="17"/>
  <c r="E9" i="32" s="1"/>
  <c r="F35" i="17"/>
  <c r="M9" i="32" s="1"/>
  <c r="J35" i="17"/>
  <c r="O9" i="32" s="1"/>
  <c r="F36" i="19"/>
  <c r="J36" i="19"/>
  <c r="O10" i="32" s="1"/>
  <c r="D34" i="15"/>
  <c r="L8" i="32" s="1"/>
  <c r="D12" i="15"/>
  <c r="B8" i="32" s="1"/>
  <c r="N6" i="8"/>
  <c r="M6" i="8"/>
  <c r="L6" i="8"/>
  <c r="K6" i="8"/>
  <c r="J6" i="8"/>
  <c r="I6" i="8"/>
  <c r="H6" i="8"/>
  <c r="G6" i="8"/>
  <c r="F6" i="8"/>
  <c r="E6" i="8"/>
  <c r="N5" i="8"/>
  <c r="L5" i="8"/>
  <c r="K5" i="8"/>
  <c r="J5" i="8"/>
  <c r="I5" i="8"/>
  <c r="H5" i="8"/>
  <c r="G5" i="8"/>
  <c r="F5" i="8"/>
  <c r="E5" i="8"/>
  <c r="L22" i="8"/>
  <c r="K22" i="8"/>
  <c r="J22" i="8"/>
  <c r="I22" i="8"/>
  <c r="H22" i="8"/>
  <c r="G22" i="8"/>
  <c r="F22" i="8"/>
  <c r="E22" i="8"/>
  <c r="L21" i="8"/>
  <c r="K21" i="8"/>
  <c r="J21" i="8"/>
  <c r="I21" i="8"/>
  <c r="H21" i="8"/>
  <c r="G21" i="8"/>
  <c r="F21" i="8"/>
  <c r="E21" i="8"/>
  <c r="K7" i="26"/>
  <c r="K8" i="26"/>
  <c r="K9" i="26"/>
  <c r="K10" i="26"/>
  <c r="K11" i="26"/>
  <c r="K12" i="26"/>
  <c r="K13" i="26"/>
  <c r="K15" i="26"/>
  <c r="K16" i="26"/>
  <c r="K17" i="26"/>
  <c r="K18" i="26"/>
  <c r="K19" i="26"/>
  <c r="K20" i="26"/>
  <c r="K23" i="26"/>
  <c r="K24" i="26"/>
  <c r="K25" i="26"/>
  <c r="K26" i="26"/>
  <c r="K27" i="26"/>
  <c r="K28" i="26"/>
  <c r="K30" i="26"/>
  <c r="K31" i="26"/>
  <c r="K32" i="26"/>
  <c r="K33" i="26"/>
  <c r="K34" i="26"/>
  <c r="K36" i="26"/>
  <c r="K37" i="26"/>
  <c r="K38" i="26"/>
  <c r="K39" i="26"/>
  <c r="K42" i="26"/>
  <c r="K43" i="26"/>
  <c r="K44" i="26"/>
  <c r="K45" i="26"/>
  <c r="N14" i="26"/>
  <c r="N21" i="26"/>
  <c r="N35" i="26"/>
  <c r="N40" i="26"/>
  <c r="N46" i="26"/>
  <c r="Q14" i="26"/>
  <c r="Q21" i="26"/>
  <c r="Q29" i="26"/>
  <c r="Q35" i="26"/>
  <c r="Q40" i="26"/>
  <c r="Q46" i="26"/>
  <c r="T14" i="26"/>
  <c r="P59" i="26" s="1"/>
  <c r="T21" i="26"/>
  <c r="P60" i="26" s="1"/>
  <c r="T29" i="26"/>
  <c r="T35" i="26"/>
  <c r="T40" i="26"/>
  <c r="T46" i="26"/>
  <c r="L61" i="26"/>
  <c r="L65" i="26"/>
  <c r="O65" i="26"/>
  <c r="R65" i="26"/>
  <c r="T65" i="26" s="1"/>
  <c r="AB11" i="26"/>
  <c r="AB12" i="26"/>
  <c r="W11" i="26"/>
  <c r="W12" i="26"/>
  <c r="P11" i="26"/>
  <c r="P12" i="26"/>
  <c r="F12" i="26"/>
  <c r="F11" i="26"/>
  <c r="C4" i="46"/>
  <c r="C5" i="46"/>
  <c r="C6" i="46"/>
  <c r="C7" i="46"/>
  <c r="C9" i="46"/>
  <c r="C10" i="46"/>
  <c r="D7" i="46"/>
  <c r="H7" i="46" s="1"/>
  <c r="R21" i="7"/>
  <c r="P21" i="7"/>
  <c r="G20" i="49" s="1"/>
  <c r="N21" i="7"/>
  <c r="L21" i="7"/>
  <c r="V11" i="6"/>
  <c r="V10" i="6"/>
  <c r="L13" i="5"/>
  <c r="J14" i="5"/>
  <c r="J10" i="5"/>
  <c r="AD10" i="5"/>
  <c r="AB10" i="5"/>
  <c r="Z10" i="5"/>
  <c r="X10" i="5"/>
  <c r="V10" i="5"/>
  <c r="T10" i="5"/>
  <c r="R10" i="5"/>
  <c r="P10" i="5"/>
  <c r="N10" i="5"/>
  <c r="H10" i="5"/>
  <c r="D10" i="5"/>
  <c r="V12" i="3"/>
  <c r="T12" i="3"/>
  <c r="R12" i="3"/>
  <c r="P12" i="3"/>
  <c r="N12" i="3"/>
  <c r="L12" i="3"/>
  <c r="J12" i="3"/>
  <c r="H12" i="3"/>
  <c r="D12" i="3"/>
  <c r="V14" i="2"/>
  <c r="V15" i="2"/>
  <c r="V16" i="2"/>
  <c r="T14" i="2"/>
  <c r="T15" i="2"/>
  <c r="T16" i="2"/>
  <c r="R14" i="2"/>
  <c r="R15" i="2"/>
  <c r="R16" i="2"/>
  <c r="P14" i="2"/>
  <c r="P15" i="2"/>
  <c r="P16" i="2"/>
  <c r="N14" i="2"/>
  <c r="N15" i="2"/>
  <c r="N16" i="2"/>
  <c r="L14" i="2"/>
  <c r="L15" i="2"/>
  <c r="L16" i="2"/>
  <c r="J14" i="2"/>
  <c r="J15" i="2"/>
  <c r="J16" i="2"/>
  <c r="H14" i="2"/>
  <c r="H15" i="2"/>
  <c r="H16" i="2"/>
  <c r="D15" i="2"/>
  <c r="U29" i="26"/>
  <c r="V29" i="26"/>
  <c r="K47" i="36"/>
  <c r="K43" i="36"/>
  <c r="F47" i="36"/>
  <c r="G47" i="36"/>
  <c r="H47" i="36"/>
  <c r="I47" i="36"/>
  <c r="F43" i="36"/>
  <c r="F49" i="36" s="1"/>
  <c r="G43" i="36"/>
  <c r="G49" i="36" s="1"/>
  <c r="H43" i="36"/>
  <c r="H49" i="36" s="1"/>
  <c r="I43" i="36"/>
  <c r="I49" i="36" s="1"/>
  <c r="E47" i="36"/>
  <c r="E43" i="36"/>
  <c r="F44" i="11"/>
  <c r="D42" i="36"/>
  <c r="M16" i="36"/>
  <c r="F16" i="36"/>
  <c r="E15" i="41"/>
  <c r="C11" i="41"/>
  <c r="E11" i="41"/>
  <c r="G15" i="37"/>
  <c r="D10" i="46"/>
  <c r="D14" i="46"/>
  <c r="H14" i="46" s="1"/>
  <c r="G42" i="44"/>
  <c r="G38" i="44"/>
  <c r="N56" i="44"/>
  <c r="O56" i="44" s="1"/>
  <c r="N57" i="44"/>
  <c r="O57" i="44" s="1"/>
  <c r="F55" i="44"/>
  <c r="G55" i="44" s="1"/>
  <c r="F56" i="44"/>
  <c r="G56" i="44" s="1"/>
  <c r="K43" i="44"/>
  <c r="K39" i="44"/>
  <c r="J42" i="44"/>
  <c r="K42" i="44" s="1"/>
  <c r="J41" i="44"/>
  <c r="K41" i="44" s="1"/>
  <c r="J40" i="44"/>
  <c r="J38" i="44"/>
  <c r="F41" i="44"/>
  <c r="G41" i="44" s="1"/>
  <c r="F40" i="44"/>
  <c r="G40" i="44" s="1"/>
  <c r="F39" i="44"/>
  <c r="I22" i="45" s="1"/>
  <c r="N55" i="44"/>
  <c r="O55" i="44" s="1"/>
  <c r="N54" i="44"/>
  <c r="O54" i="44" s="1"/>
  <c r="N53" i="44"/>
  <c r="I39" i="45" s="1"/>
  <c r="F57" i="44"/>
  <c r="G57" i="44" s="1"/>
  <c r="F54" i="44"/>
  <c r="G54" i="44" s="1"/>
  <c r="F53" i="44"/>
  <c r="G53" i="44" s="1"/>
  <c r="E18" i="1"/>
  <c r="C18" i="1"/>
  <c r="E14" i="1"/>
  <c r="C14" i="1"/>
  <c r="K11" i="37"/>
  <c r="K10" i="37"/>
  <c r="K9" i="37"/>
  <c r="K8" i="37"/>
  <c r="J12" i="37"/>
  <c r="H12" i="37"/>
  <c r="G11" i="37"/>
  <c r="G10" i="37"/>
  <c r="G9" i="37"/>
  <c r="F12" i="37"/>
  <c r="D11" i="37"/>
  <c r="D10" i="37"/>
  <c r="D9" i="37"/>
  <c r="C12" i="37"/>
  <c r="B12" i="37"/>
  <c r="G37" i="45"/>
  <c r="G21" i="45"/>
  <c r="D37" i="45"/>
  <c r="D21" i="45"/>
  <c r="G38" i="45"/>
  <c r="G22" i="45"/>
  <c r="D38" i="45"/>
  <c r="D22" i="45"/>
  <c r="F21" i="45"/>
  <c r="F20" i="45"/>
  <c r="F19" i="45"/>
  <c r="C21" i="45"/>
  <c r="C20" i="45"/>
  <c r="C19" i="45"/>
  <c r="C35" i="45"/>
  <c r="C36" i="45"/>
  <c r="F37" i="45"/>
  <c r="F35" i="45"/>
  <c r="F36" i="45"/>
  <c r="E37" i="45"/>
  <c r="E21" i="45"/>
  <c r="C37" i="45"/>
  <c r="B37" i="45"/>
  <c r="B21" i="45"/>
  <c r="V20" i="36"/>
  <c r="V19" i="36"/>
  <c r="T18" i="36"/>
  <c r="T21" i="36" s="1"/>
  <c r="R18" i="36"/>
  <c r="R21" i="36" s="1"/>
  <c r="R22" i="36" s="1"/>
  <c r="AQ9" i="26"/>
  <c r="AN9" i="26"/>
  <c r="G19" i="37"/>
  <c r="F22" i="37"/>
  <c r="F16" i="37"/>
  <c r="G20" i="37"/>
  <c r="G14" i="37"/>
  <c r="E7" i="39"/>
  <c r="I17" i="4"/>
  <c r="W16" i="3"/>
  <c r="X16" i="3" s="1"/>
  <c r="U16" i="3"/>
  <c r="S16" i="3"/>
  <c r="Q16" i="3"/>
  <c r="O16" i="3"/>
  <c r="M16" i="3"/>
  <c r="K16" i="3"/>
  <c r="I16" i="3"/>
  <c r="C16" i="3"/>
  <c r="O28" i="44"/>
  <c r="O27" i="44"/>
  <c r="O26" i="44"/>
  <c r="O24" i="44"/>
  <c r="O25" i="44"/>
  <c r="O23" i="44"/>
  <c r="G28" i="44"/>
  <c r="G27" i="44"/>
  <c r="G26" i="44"/>
  <c r="G24" i="44"/>
  <c r="G25" i="44"/>
  <c r="G23" i="44"/>
  <c r="O12" i="44"/>
  <c r="O11" i="44"/>
  <c r="O10" i="44"/>
  <c r="O9" i="44"/>
  <c r="O8" i="44"/>
  <c r="O7" i="44"/>
  <c r="G12" i="44"/>
  <c r="G11" i="44"/>
  <c r="G10" i="44"/>
  <c r="G9" i="44"/>
  <c r="G8" i="44"/>
  <c r="G7" i="44"/>
  <c r="AQ5" i="26"/>
  <c r="AN5" i="26"/>
  <c r="AN13" i="26" s="1"/>
  <c r="G15" i="46"/>
  <c r="G8" i="46"/>
  <c r="G16" i="46" s="1"/>
  <c r="G11" i="46"/>
  <c r="E14" i="40"/>
  <c r="K10" i="25"/>
  <c r="E10" i="25"/>
  <c r="F10" i="25" s="1"/>
  <c r="C10" i="1"/>
  <c r="C9" i="1"/>
  <c r="C4" i="1"/>
  <c r="K9" i="25"/>
  <c r="I9" i="25"/>
  <c r="E9" i="25"/>
  <c r="I8" i="25"/>
  <c r="C8" i="1"/>
  <c r="D5" i="46"/>
  <c r="H5" i="46" s="1"/>
  <c r="E8" i="25"/>
  <c r="F8" i="25" s="1"/>
  <c r="K40" i="36"/>
  <c r="D40" i="36"/>
  <c r="D35" i="36"/>
  <c r="K35" i="36"/>
  <c r="C7" i="1"/>
  <c r="C11" i="1" s="1"/>
  <c r="C2" i="1"/>
  <c r="B59" i="44"/>
  <c r="C59" i="44"/>
  <c r="O44" i="44"/>
  <c r="C13" i="43"/>
  <c r="C12" i="43"/>
  <c r="C11" i="43"/>
  <c r="C10" i="43"/>
  <c r="C9" i="43"/>
  <c r="C8" i="43"/>
  <c r="C7" i="43"/>
  <c r="C6" i="43"/>
  <c r="D12" i="42"/>
  <c r="F12" i="42"/>
  <c r="E7" i="42"/>
  <c r="C7" i="42"/>
  <c r="C10" i="42"/>
  <c r="D10" i="42" s="1"/>
  <c r="F6" i="42"/>
  <c r="D6" i="42"/>
  <c r="F5" i="42"/>
  <c r="D5" i="42"/>
  <c r="F4" i="42"/>
  <c r="D4" i="42"/>
  <c r="E14" i="41"/>
  <c r="E13" i="41"/>
  <c r="E10" i="41"/>
  <c r="C15" i="41"/>
  <c r="C14" i="41"/>
  <c r="C13" i="41"/>
  <c r="C16" i="41" s="1"/>
  <c r="C10" i="41"/>
  <c r="F15" i="41"/>
  <c r="G31" i="41" s="1"/>
  <c r="F14" i="41"/>
  <c r="G30" i="41" s="1"/>
  <c r="F11" i="41"/>
  <c r="G27" i="41" s="1"/>
  <c r="E12" i="41"/>
  <c r="F8" i="41"/>
  <c r="F7" i="41"/>
  <c r="F6" i="41"/>
  <c r="F5" i="41"/>
  <c r="C9" i="41"/>
  <c r="K12" i="37"/>
  <c r="F8" i="42"/>
  <c r="D8" i="37"/>
  <c r="G8" i="37"/>
  <c r="O53" i="44"/>
  <c r="O60" i="44" s="1"/>
  <c r="D8" i="42"/>
  <c r="K40" i="44"/>
  <c r="I23" i="45"/>
  <c r="G39" i="44"/>
  <c r="D6" i="46"/>
  <c r="H6" i="46" s="1"/>
  <c r="D4" i="46"/>
  <c r="H4" i="46" s="1"/>
  <c r="L67" i="26"/>
  <c r="K35" i="26"/>
  <c r="AL7" i="26" s="1"/>
  <c r="T41" i="26"/>
  <c r="C5" i="1"/>
  <c r="C3" i="1"/>
  <c r="I12" i="37"/>
  <c r="V18" i="36"/>
  <c r="G10" i="25"/>
  <c r="I10" i="25"/>
  <c r="G9" i="25"/>
  <c r="H9" i="25" s="1"/>
  <c r="K8" i="25"/>
  <c r="L8" i="25" s="1"/>
  <c r="G8" i="25"/>
  <c r="H8" i="25" s="1"/>
  <c r="C14" i="42"/>
  <c r="C12" i="41"/>
  <c r="E9" i="41"/>
  <c r="F10" i="41"/>
  <c r="G26" i="41" s="1"/>
  <c r="E10" i="42"/>
  <c r="C6" i="1"/>
  <c r="C12" i="1" s="1"/>
  <c r="D45" i="1"/>
  <c r="D40" i="1"/>
  <c r="D36" i="1"/>
  <c r="H22" i="37"/>
  <c r="C31" i="29"/>
  <c r="C30" i="29"/>
  <c r="Q16" i="29"/>
  <c r="G13" i="29"/>
  <c r="G8" i="29"/>
  <c r="K4" i="39"/>
  <c r="K15" i="39"/>
  <c r="J7" i="39"/>
  <c r="G7" i="39"/>
  <c r="C35" i="40"/>
  <c r="D34" i="40"/>
  <c r="E34" i="40"/>
  <c r="E33" i="40"/>
  <c r="E32" i="40"/>
  <c r="E31" i="40"/>
  <c r="E30" i="40"/>
  <c r="D29" i="40"/>
  <c r="E29" i="40"/>
  <c r="E28" i="40"/>
  <c r="E27" i="40"/>
  <c r="E26" i="40"/>
  <c r="E25" i="40"/>
  <c r="E24" i="40"/>
  <c r="D23" i="40"/>
  <c r="E23" i="40" s="1"/>
  <c r="E22" i="40"/>
  <c r="E21" i="40"/>
  <c r="E20" i="40"/>
  <c r="E19" i="40"/>
  <c r="E18" i="40"/>
  <c r="E17" i="40"/>
  <c r="D16" i="40"/>
  <c r="E16" i="40" s="1"/>
  <c r="E15" i="40"/>
  <c r="E13" i="40"/>
  <c r="E12" i="40"/>
  <c r="E11" i="40"/>
  <c r="E10" i="40"/>
  <c r="E9" i="40"/>
  <c r="D8" i="40"/>
  <c r="E8" i="40" s="1"/>
  <c r="E7" i="40"/>
  <c r="E6" i="40"/>
  <c r="E5" i="40"/>
  <c r="E4" i="40"/>
  <c r="E3" i="40"/>
  <c r="G24" i="9"/>
  <c r="E24" i="9"/>
  <c r="C13" i="39"/>
  <c r="C12" i="39"/>
  <c r="C11" i="39"/>
  <c r="C9" i="39"/>
  <c r="C8" i="39"/>
  <c r="C7" i="39"/>
  <c r="AA46" i="26"/>
  <c r="Z46" i="26"/>
  <c r="Y46" i="26"/>
  <c r="X46" i="26"/>
  <c r="AB45" i="26"/>
  <c r="AB44" i="26"/>
  <c r="AB43" i="26"/>
  <c r="AB42" i="26"/>
  <c r="AA40" i="26"/>
  <c r="Z40" i="26"/>
  <c r="Y40" i="26"/>
  <c r="X40" i="26"/>
  <c r="AB39" i="26"/>
  <c r="AB38" i="26"/>
  <c r="AB37" i="26"/>
  <c r="AB36" i="26"/>
  <c r="AA35" i="26"/>
  <c r="Z35" i="26"/>
  <c r="Y35" i="26"/>
  <c r="X35" i="26"/>
  <c r="AB34" i="26"/>
  <c r="AB33" i="26"/>
  <c r="AB32" i="26"/>
  <c r="AB31" i="26"/>
  <c r="AB30" i="26"/>
  <c r="AA29" i="26"/>
  <c r="Z29" i="26"/>
  <c r="Y29" i="26"/>
  <c r="X29" i="26"/>
  <c r="AB28" i="26"/>
  <c r="AB27" i="26"/>
  <c r="AB26" i="26"/>
  <c r="AB25" i="26"/>
  <c r="AB24" i="26"/>
  <c r="AB23" i="26"/>
  <c r="AA21" i="26"/>
  <c r="Z21" i="26"/>
  <c r="Y21" i="26"/>
  <c r="S60" i="26" s="1"/>
  <c r="X21" i="26"/>
  <c r="R60" i="26" s="1"/>
  <c r="T60" i="26" s="1"/>
  <c r="AB20" i="26"/>
  <c r="AB19" i="26"/>
  <c r="AB18" i="26"/>
  <c r="AB17" i="26"/>
  <c r="AB16" i="26"/>
  <c r="AB15" i="26"/>
  <c r="AA14" i="26"/>
  <c r="AA22" i="26" s="1"/>
  <c r="Z14" i="26"/>
  <c r="Y14" i="26"/>
  <c r="Y22" i="26" s="1"/>
  <c r="X14" i="26"/>
  <c r="R59" i="26" s="1"/>
  <c r="AB13" i="26"/>
  <c r="AB10" i="26"/>
  <c r="AB9" i="26"/>
  <c r="AB8" i="26"/>
  <c r="AB7" i="26"/>
  <c r="W24" i="26"/>
  <c r="W25" i="26"/>
  <c r="W26" i="26"/>
  <c r="W27" i="26"/>
  <c r="W28" i="26"/>
  <c r="W30" i="26"/>
  <c r="W31" i="26"/>
  <c r="W32" i="26"/>
  <c r="W33" i="26"/>
  <c r="W34" i="26"/>
  <c r="W36" i="26"/>
  <c r="W37" i="26"/>
  <c r="W38" i="26"/>
  <c r="W39" i="26"/>
  <c r="W42" i="26"/>
  <c r="W43" i="26"/>
  <c r="W44" i="26"/>
  <c r="W45" i="26"/>
  <c r="W23" i="26"/>
  <c r="W8" i="26"/>
  <c r="W9" i="26"/>
  <c r="W10" i="26"/>
  <c r="W13" i="26"/>
  <c r="W15" i="26"/>
  <c r="W16" i="26"/>
  <c r="W17" i="26"/>
  <c r="W18" i="26"/>
  <c r="W19" i="26"/>
  <c r="W20" i="26"/>
  <c r="W7" i="26"/>
  <c r="P24" i="26"/>
  <c r="P25" i="26"/>
  <c r="P26" i="26"/>
  <c r="P27" i="26"/>
  <c r="P28" i="26"/>
  <c r="P30" i="26"/>
  <c r="P31" i="26"/>
  <c r="P32" i="26"/>
  <c r="P33" i="26"/>
  <c r="P34" i="26"/>
  <c r="P36" i="26"/>
  <c r="P37" i="26"/>
  <c r="P38" i="26"/>
  <c r="P39" i="26"/>
  <c r="P42" i="26"/>
  <c r="P43" i="26"/>
  <c r="P44" i="26"/>
  <c r="P45" i="26"/>
  <c r="P23" i="26"/>
  <c r="P8" i="26"/>
  <c r="P9" i="26"/>
  <c r="P10" i="26"/>
  <c r="P13" i="26"/>
  <c r="P15" i="26"/>
  <c r="P16" i="26"/>
  <c r="P17" i="26"/>
  <c r="P18" i="26"/>
  <c r="P19" i="26"/>
  <c r="P20" i="26"/>
  <c r="P7" i="26"/>
  <c r="M29" i="26"/>
  <c r="M41" i="26" s="1"/>
  <c r="F43" i="26"/>
  <c r="R43" i="26" s="1"/>
  <c r="F44" i="26"/>
  <c r="F45" i="26"/>
  <c r="R45" i="26" s="1"/>
  <c r="F42" i="26"/>
  <c r="R42" i="26" s="1"/>
  <c r="F37" i="26"/>
  <c r="R37" i="26" s="1"/>
  <c r="F38" i="26"/>
  <c r="F39" i="26"/>
  <c r="R39" i="26" s="1"/>
  <c r="F36" i="26"/>
  <c r="F31" i="26"/>
  <c r="F32" i="26"/>
  <c r="F33" i="26"/>
  <c r="F34" i="26"/>
  <c r="F30" i="26"/>
  <c r="R30" i="26" s="1"/>
  <c r="F24" i="26"/>
  <c r="R24" i="26" s="1"/>
  <c r="F25" i="26"/>
  <c r="R25" i="26" s="1"/>
  <c r="F26" i="26"/>
  <c r="R26" i="26" s="1"/>
  <c r="F27" i="26"/>
  <c r="R27" i="26" s="1"/>
  <c r="F28" i="26"/>
  <c r="R28" i="26" s="1"/>
  <c r="F23" i="26"/>
  <c r="F16" i="26"/>
  <c r="F17" i="26"/>
  <c r="F18" i="26"/>
  <c r="R18" i="26" s="1"/>
  <c r="F19" i="26"/>
  <c r="R19" i="26" s="1"/>
  <c r="F20" i="26"/>
  <c r="R20" i="26" s="1"/>
  <c r="F15" i="26"/>
  <c r="F8" i="26"/>
  <c r="F9" i="26"/>
  <c r="F10" i="26"/>
  <c r="F13" i="26"/>
  <c r="F7" i="26"/>
  <c r="H13" i="9"/>
  <c r="H11" i="9"/>
  <c r="F12" i="9"/>
  <c r="F10" i="9"/>
  <c r="E34" i="38"/>
  <c r="C34" i="38"/>
  <c r="C33" i="38"/>
  <c r="E32" i="38"/>
  <c r="E23" i="38"/>
  <c r="E22" i="38"/>
  <c r="E21" i="38"/>
  <c r="E20" i="38"/>
  <c r="C20" i="38"/>
  <c r="D14" i="38"/>
  <c r="G9" i="9" s="1"/>
  <c r="B14" i="38"/>
  <c r="E9" i="9" s="1"/>
  <c r="E13" i="38"/>
  <c r="C13" i="38"/>
  <c r="E12" i="38"/>
  <c r="C12" i="38"/>
  <c r="E11" i="38"/>
  <c r="C11" i="38"/>
  <c r="E10" i="38"/>
  <c r="C10" i="38"/>
  <c r="E9" i="38"/>
  <c r="C9" i="38"/>
  <c r="K20" i="36"/>
  <c r="M18" i="36"/>
  <c r="M21" i="36"/>
  <c r="K18" i="36"/>
  <c r="F18" i="36"/>
  <c r="F21" i="36" s="1"/>
  <c r="H21" i="36" s="1"/>
  <c r="D18" i="36"/>
  <c r="D21" i="36" s="1"/>
  <c r="K16" i="36"/>
  <c r="D16" i="36"/>
  <c r="M15" i="36"/>
  <c r="M17" i="36" s="1"/>
  <c r="K15" i="36"/>
  <c r="F15" i="36"/>
  <c r="F17" i="36" s="1"/>
  <c r="H17" i="36" s="1"/>
  <c r="D15" i="36"/>
  <c r="D17" i="36" s="1"/>
  <c r="G43" i="10"/>
  <c r="F13" i="11"/>
  <c r="F34" i="11"/>
  <c r="F24" i="11"/>
  <c r="G12" i="10"/>
  <c r="R13" i="26"/>
  <c r="Z41" i="26"/>
  <c r="R8" i="26"/>
  <c r="R33" i="26"/>
  <c r="R15" i="26"/>
  <c r="R16" i="26"/>
  <c r="R36" i="26"/>
  <c r="R38" i="26"/>
  <c r="R17" i="26"/>
  <c r="R44" i="26"/>
  <c r="K7" i="39"/>
  <c r="D35" i="40"/>
  <c r="E35" i="40" s="1"/>
  <c r="F13" i="9"/>
  <c r="H10" i="9"/>
  <c r="H12" i="9"/>
  <c r="F11" i="9"/>
  <c r="AB35" i="26"/>
  <c r="AR7" i="26" s="1"/>
  <c r="Z22" i="26"/>
  <c r="AB21" i="26"/>
  <c r="AR4" i="26" s="1"/>
  <c r="X22" i="26"/>
  <c r="AB29" i="26"/>
  <c r="E33" i="38"/>
  <c r="C31" i="38"/>
  <c r="C32" i="38"/>
  <c r="E31" i="38"/>
  <c r="C21" i="38"/>
  <c r="C22" i="38"/>
  <c r="C23" i="38"/>
  <c r="E14" i="38"/>
  <c r="B24" i="38"/>
  <c r="D24" i="38"/>
  <c r="B35" i="38"/>
  <c r="D35" i="38"/>
  <c r="D21" i="37"/>
  <c r="D20" i="37"/>
  <c r="D19" i="37"/>
  <c r="D18" i="37"/>
  <c r="D15" i="37"/>
  <c r="D14" i="37"/>
  <c r="K15" i="37"/>
  <c r="X14" i="31"/>
  <c r="Y14" i="31" s="1"/>
  <c r="V14" i="31"/>
  <c r="W14" i="31" s="1"/>
  <c r="T14" i="31"/>
  <c r="U14" i="31" s="1"/>
  <c r="R14" i="31"/>
  <c r="S14" i="31" s="1"/>
  <c r="P14" i="31"/>
  <c r="Q14" i="31" s="1"/>
  <c r="N14" i="31"/>
  <c r="O14" i="31" s="1"/>
  <c r="L14" i="31"/>
  <c r="M14" i="31" s="1"/>
  <c r="J14" i="31"/>
  <c r="H14" i="31"/>
  <c r="F14" i="31"/>
  <c r="G14" i="31" s="1"/>
  <c r="X8" i="31"/>
  <c r="V8" i="31"/>
  <c r="V16" i="31" s="1"/>
  <c r="W16" i="31" s="1"/>
  <c r="T8" i="31"/>
  <c r="U8" i="31" s="1"/>
  <c r="R8" i="31"/>
  <c r="S8" i="31" s="1"/>
  <c r="P8" i="31"/>
  <c r="Q8" i="31" s="1"/>
  <c r="N8" i="31"/>
  <c r="O8" i="31" s="1"/>
  <c r="L8" i="31"/>
  <c r="M8" i="31" s="1"/>
  <c r="J8" i="31"/>
  <c r="K8" i="31" s="1"/>
  <c r="H8" i="31"/>
  <c r="I8" i="31" s="1"/>
  <c r="B14" i="31"/>
  <c r="C14" i="31" s="1"/>
  <c r="B8" i="31"/>
  <c r="I14" i="37"/>
  <c r="I19" i="37"/>
  <c r="I15" i="37"/>
  <c r="C16" i="37"/>
  <c r="B16" i="37"/>
  <c r="D44" i="36"/>
  <c r="M44" i="36" s="1"/>
  <c r="D45" i="36"/>
  <c r="M45" i="36" s="1"/>
  <c r="D46" i="36"/>
  <c r="M46" i="36" s="1"/>
  <c r="D48" i="36"/>
  <c r="M48" i="36" s="1"/>
  <c r="D41" i="36"/>
  <c r="D43" i="36" s="1"/>
  <c r="M35" i="36"/>
  <c r="M40" i="36"/>
  <c r="M42" i="36"/>
  <c r="M39" i="36"/>
  <c r="M38" i="36"/>
  <c r="M37" i="36"/>
  <c r="M32" i="36"/>
  <c r="M34" i="36"/>
  <c r="O20" i="36"/>
  <c r="O19" i="36"/>
  <c r="O18" i="36"/>
  <c r="O16" i="36"/>
  <c r="O15" i="36"/>
  <c r="M13" i="36"/>
  <c r="O12" i="36"/>
  <c r="O11" i="36"/>
  <c r="O10" i="36"/>
  <c r="M8" i="36"/>
  <c r="M14" i="36" s="1"/>
  <c r="O7" i="36"/>
  <c r="O6" i="36"/>
  <c r="O5" i="36"/>
  <c r="O4" i="36"/>
  <c r="H16" i="36"/>
  <c r="H18" i="36"/>
  <c r="H19" i="36"/>
  <c r="H20" i="36"/>
  <c r="H15" i="36"/>
  <c r="H10" i="36"/>
  <c r="H11" i="36"/>
  <c r="H12" i="36"/>
  <c r="H9" i="36"/>
  <c r="H5" i="36"/>
  <c r="H6" i="36"/>
  <c r="H7" i="36"/>
  <c r="H4" i="36"/>
  <c r="F13" i="36"/>
  <c r="F8" i="36"/>
  <c r="K13" i="36"/>
  <c r="K8" i="36"/>
  <c r="I40" i="36"/>
  <c r="H40" i="36"/>
  <c r="G40" i="36"/>
  <c r="F40" i="36"/>
  <c r="E40" i="36"/>
  <c r="D13" i="36"/>
  <c r="I35" i="36"/>
  <c r="I50" i="36" s="1"/>
  <c r="H35" i="36"/>
  <c r="G35" i="36"/>
  <c r="G50" i="36" s="1"/>
  <c r="F35" i="36"/>
  <c r="E35" i="36"/>
  <c r="D8" i="36"/>
  <c r="D14" i="36"/>
  <c r="C8" i="31"/>
  <c r="J16" i="31"/>
  <c r="K16" i="31" s="1"/>
  <c r="L16" i="31"/>
  <c r="M16" i="31" s="1"/>
  <c r="R16" i="31"/>
  <c r="S16" i="31" s="1"/>
  <c r="K14" i="31"/>
  <c r="O8" i="36"/>
  <c r="E35" i="38"/>
  <c r="E24" i="38"/>
  <c r="C35" i="38"/>
  <c r="C24" i="38"/>
  <c r="H8" i="36"/>
  <c r="I18" i="37"/>
  <c r="J22" i="37"/>
  <c r="K20" i="37"/>
  <c r="K19" i="37"/>
  <c r="K18" i="37"/>
  <c r="J16" i="37"/>
  <c r="K14" i="37"/>
  <c r="I20" i="37"/>
  <c r="H16" i="37"/>
  <c r="H24" i="37" s="1"/>
  <c r="F8" i="31"/>
  <c r="G8" i="31" s="1"/>
  <c r="C22" i="37"/>
  <c r="I22" i="37" s="1"/>
  <c r="B22" i="37"/>
  <c r="F50" i="36"/>
  <c r="H50" i="36"/>
  <c r="F16" i="31"/>
  <c r="G16" i="31" s="1"/>
  <c r="I42" i="30"/>
  <c r="I44" i="30"/>
  <c r="D28" i="28"/>
  <c r="C46" i="1"/>
  <c r="C45" i="1"/>
  <c r="C40" i="1"/>
  <c r="C36" i="1"/>
  <c r="C44" i="1"/>
  <c r="C43" i="1"/>
  <c r="C42" i="1"/>
  <c r="C41" i="1"/>
  <c r="C39" i="1"/>
  <c r="C38" i="1"/>
  <c r="C37" i="1"/>
  <c r="C33" i="1"/>
  <c r="C32" i="1"/>
  <c r="C31" i="1"/>
  <c r="C35" i="1"/>
  <c r="E7" i="1"/>
  <c r="E11" i="1" s="1"/>
  <c r="I13" i="25"/>
  <c r="J13" i="25" s="1"/>
  <c r="E13" i="25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B14" i="8"/>
  <c r="P13" i="8"/>
  <c r="M13" i="8"/>
  <c r="L13" i="8"/>
  <c r="K13" i="8"/>
  <c r="N13" i="8"/>
  <c r="J13" i="8"/>
  <c r="I13" i="8"/>
  <c r="H13" i="8"/>
  <c r="G13" i="8"/>
  <c r="F13" i="8"/>
  <c r="E13" i="8"/>
  <c r="D13" i="8"/>
  <c r="C13" i="8"/>
  <c r="B13" i="8"/>
  <c r="I16" i="25"/>
  <c r="J12" i="39"/>
  <c r="D13" i="46"/>
  <c r="H13" i="46" s="1"/>
  <c r="D12" i="46"/>
  <c r="H12" i="46" s="1"/>
  <c r="K17" i="25"/>
  <c r="E13" i="39"/>
  <c r="G13" i="39"/>
  <c r="K16" i="25"/>
  <c r="G16" i="25"/>
  <c r="E16" i="25"/>
  <c r="E12" i="39"/>
  <c r="K15" i="25"/>
  <c r="K18" i="25" s="1"/>
  <c r="G15" i="25"/>
  <c r="G18" i="25" s="1"/>
  <c r="E11" i="39"/>
  <c r="F11" i="39" s="1"/>
  <c r="J11" i="39"/>
  <c r="J14" i="39" s="1"/>
  <c r="K13" i="25"/>
  <c r="G13" i="25"/>
  <c r="E9" i="39"/>
  <c r="F9" i="39" s="1"/>
  <c r="G9" i="39"/>
  <c r="E8" i="39"/>
  <c r="E10" i="39" s="1"/>
  <c r="K12" i="25"/>
  <c r="K14" i="25" s="1"/>
  <c r="G12" i="25"/>
  <c r="G14" i="25" s="1"/>
  <c r="J8" i="39"/>
  <c r="J10" i="39" s="1"/>
  <c r="G8" i="39"/>
  <c r="D9" i="46"/>
  <c r="H9" i="46" s="1"/>
  <c r="I21" i="21"/>
  <c r="G9" i="21"/>
  <c r="I17" i="21"/>
  <c r="AB11" i="5"/>
  <c r="AB12" i="5"/>
  <c r="AB13" i="5"/>
  <c r="AB14" i="5"/>
  <c r="Z14" i="5"/>
  <c r="Z13" i="5"/>
  <c r="Z11" i="5"/>
  <c r="Z12" i="5"/>
  <c r="Z12" i="4"/>
  <c r="Z13" i="4"/>
  <c r="Z14" i="4"/>
  <c r="Z15" i="4"/>
  <c r="Z16" i="4"/>
  <c r="Z11" i="4"/>
  <c r="X16" i="4"/>
  <c r="X15" i="4"/>
  <c r="X14" i="4"/>
  <c r="X13" i="4"/>
  <c r="X12" i="4"/>
  <c r="X11" i="4"/>
  <c r="E12" i="10"/>
  <c r="G14" i="9" s="1"/>
  <c r="C12" i="10"/>
  <c r="E14" i="9" s="1"/>
  <c r="F45" i="29"/>
  <c r="E36" i="29"/>
  <c r="D36" i="29"/>
  <c r="C36" i="29"/>
  <c r="O21" i="21"/>
  <c r="N21" i="21"/>
  <c r="M21" i="21"/>
  <c r="O17" i="21"/>
  <c r="N17" i="21"/>
  <c r="M17" i="21"/>
  <c r="O13" i="21"/>
  <c r="N13" i="21"/>
  <c r="M13" i="21"/>
  <c r="O9" i="21"/>
  <c r="N9" i="21"/>
  <c r="M9" i="21"/>
  <c r="J9" i="21"/>
  <c r="K9" i="21"/>
  <c r="K13" i="21"/>
  <c r="J13" i="21"/>
  <c r="K17" i="21"/>
  <c r="J17" i="21"/>
  <c r="K21" i="21"/>
  <c r="J21" i="21"/>
  <c r="I13" i="21"/>
  <c r="I9" i="21"/>
  <c r="F9" i="21"/>
  <c r="E9" i="21"/>
  <c r="F17" i="21"/>
  <c r="E17" i="21"/>
  <c r="E21" i="21"/>
  <c r="F21" i="21"/>
  <c r="F25" i="21"/>
  <c r="E25" i="21"/>
  <c r="E13" i="21"/>
  <c r="F13" i="21"/>
  <c r="U46" i="26"/>
  <c r="V46" i="26"/>
  <c r="M21" i="26"/>
  <c r="M14" i="26"/>
  <c r="H46" i="26"/>
  <c r="H40" i="26"/>
  <c r="H35" i="26"/>
  <c r="H29" i="26"/>
  <c r="H21" i="26"/>
  <c r="H14" i="26"/>
  <c r="G46" i="26"/>
  <c r="AK10" i="26" s="1"/>
  <c r="I46" i="26"/>
  <c r="C46" i="26"/>
  <c r="J66" i="26" s="1"/>
  <c r="C40" i="26"/>
  <c r="J64" i="26" s="1"/>
  <c r="C35" i="26"/>
  <c r="J63" i="26" s="1"/>
  <c r="C29" i="26"/>
  <c r="J62" i="26" s="1"/>
  <c r="C21" i="26"/>
  <c r="J60" i="26" s="1"/>
  <c r="C14" i="26"/>
  <c r="J59" i="26" s="1"/>
  <c r="W29" i="26"/>
  <c r="C17" i="1"/>
  <c r="C16" i="1"/>
  <c r="C13" i="1"/>
  <c r="C15" i="1" s="1"/>
  <c r="E10" i="1"/>
  <c r="F10" i="1" s="1"/>
  <c r="E9" i="1"/>
  <c r="D9" i="1" s="1"/>
  <c r="E8" i="1"/>
  <c r="F8" i="1" s="1"/>
  <c r="K13" i="39"/>
  <c r="H10" i="46"/>
  <c r="K9" i="39"/>
  <c r="G12" i="39"/>
  <c r="K12" i="39" s="1"/>
  <c r="G11" i="39"/>
  <c r="I15" i="25"/>
  <c r="I18" i="25" s="1"/>
  <c r="J18" i="25" s="1"/>
  <c r="E15" i="25"/>
  <c r="E18" i="25" s="1"/>
  <c r="G10" i="39"/>
  <c r="L13" i="25"/>
  <c r="L16" i="25"/>
  <c r="L17" i="25"/>
  <c r="C19" i="1"/>
  <c r="I46" i="30"/>
  <c r="F44" i="29"/>
  <c r="B38" i="29"/>
  <c r="F21" i="29"/>
  <c r="F20" i="29"/>
  <c r="C22" i="29"/>
  <c r="D22" i="29"/>
  <c r="E22" i="29"/>
  <c r="F43" i="29"/>
  <c r="F42" i="29"/>
  <c r="F19" i="29"/>
  <c r="D38" i="29"/>
  <c r="E38" i="29"/>
  <c r="C38" i="29"/>
  <c r="F33" i="29"/>
  <c r="F32" i="29"/>
  <c r="F31" i="29"/>
  <c r="F30" i="29"/>
  <c r="F34" i="29"/>
  <c r="F35" i="29"/>
  <c r="H35" i="29"/>
  <c r="M25" i="21"/>
  <c r="N25" i="21"/>
  <c r="D46" i="26"/>
  <c r="E46" i="26"/>
  <c r="J46" i="26"/>
  <c r="L46" i="26"/>
  <c r="O46" i="26"/>
  <c r="S46" i="26"/>
  <c r="D40" i="26"/>
  <c r="E40" i="26"/>
  <c r="G40" i="26"/>
  <c r="AK8" i="26" s="1"/>
  <c r="I40" i="26"/>
  <c r="J40" i="26"/>
  <c r="L40" i="26"/>
  <c r="O40" i="26"/>
  <c r="S40" i="26"/>
  <c r="D35" i="26"/>
  <c r="E35" i="26"/>
  <c r="G35" i="26"/>
  <c r="AK7" i="26" s="1"/>
  <c r="I35" i="26"/>
  <c r="J35" i="26"/>
  <c r="L35" i="26"/>
  <c r="O35" i="26"/>
  <c r="S35" i="26"/>
  <c r="D29" i="26"/>
  <c r="D41" i="26" s="1"/>
  <c r="E29" i="26"/>
  <c r="G29" i="26"/>
  <c r="AK6" i="26" s="1"/>
  <c r="I29" i="26"/>
  <c r="J29" i="26"/>
  <c r="J41" i="26" s="1"/>
  <c r="L29" i="26"/>
  <c r="O29" i="26"/>
  <c r="O41" i="26" s="1"/>
  <c r="S29" i="26"/>
  <c r="D21" i="26"/>
  <c r="E21" i="26"/>
  <c r="F21" i="26"/>
  <c r="AI4" i="26" s="1"/>
  <c r="G21" i="26"/>
  <c r="AK4" i="26" s="1"/>
  <c r="I21" i="26"/>
  <c r="J21" i="26"/>
  <c r="L21" i="26"/>
  <c r="O21" i="26"/>
  <c r="D14" i="26"/>
  <c r="E14" i="26"/>
  <c r="E22" i="26" s="1"/>
  <c r="AI5" i="26"/>
  <c r="G14" i="26"/>
  <c r="I14" i="26"/>
  <c r="I22" i="26" s="1"/>
  <c r="J14" i="26"/>
  <c r="L14" i="26"/>
  <c r="L22" i="26" s="1"/>
  <c r="O14" i="26"/>
  <c r="B46" i="26"/>
  <c r="AH10" i="26" s="1"/>
  <c r="S21" i="26"/>
  <c r="O60" i="26" s="1"/>
  <c r="Q60" i="26" s="1"/>
  <c r="S14" i="26"/>
  <c r="O59" i="26" s="1"/>
  <c r="Q59" i="26" s="1"/>
  <c r="I41" i="26"/>
  <c r="AK5" i="26"/>
  <c r="P14" i="26"/>
  <c r="P35" i="26"/>
  <c r="P46" i="26"/>
  <c r="P40" i="26"/>
  <c r="D15" i="46"/>
  <c r="J22" i="26"/>
  <c r="J47" i="26" s="1"/>
  <c r="F36" i="29"/>
  <c r="F38" i="29" s="1"/>
  <c r="F22" i="29"/>
  <c r="H15" i="46"/>
  <c r="Z10" i="7"/>
  <c r="W13" i="6"/>
  <c r="K15" i="5"/>
  <c r="P15" i="4"/>
  <c r="V15" i="4"/>
  <c r="G41" i="30"/>
  <c r="I39" i="30"/>
  <c r="C37" i="30"/>
  <c r="C53" i="30" s="1"/>
  <c r="B37" i="30"/>
  <c r="B53" i="30" s="1"/>
  <c r="H30" i="30"/>
  <c r="D30" i="30"/>
  <c r="I29" i="30"/>
  <c r="E29" i="30"/>
  <c r="I25" i="30"/>
  <c r="E25" i="30"/>
  <c r="I24" i="30"/>
  <c r="E24" i="30"/>
  <c r="I23" i="30"/>
  <c r="E23" i="30"/>
  <c r="I22" i="30"/>
  <c r="E22" i="30"/>
  <c r="I21" i="30"/>
  <c r="E21" i="30"/>
  <c r="G16" i="30"/>
  <c r="F16" i="30"/>
  <c r="H16" i="30" s="1"/>
  <c r="C16" i="30"/>
  <c r="D16" i="30"/>
  <c r="I12" i="30"/>
  <c r="E12" i="30"/>
  <c r="V40" i="26"/>
  <c r="U40" i="26"/>
  <c r="B40" i="26"/>
  <c r="AH8" i="26" s="1"/>
  <c r="V35" i="26"/>
  <c r="U35" i="26"/>
  <c r="B35" i="26"/>
  <c r="AH7" i="26" s="1"/>
  <c r="B29" i="26"/>
  <c r="I62" i="26" s="1"/>
  <c r="V21" i="26"/>
  <c r="U21" i="26"/>
  <c r="B21" i="26"/>
  <c r="AH4" i="26" s="1"/>
  <c r="V14" i="26"/>
  <c r="U14" i="26"/>
  <c r="B14" i="26"/>
  <c r="I59" i="26" s="1"/>
  <c r="AH6" i="26"/>
  <c r="D34" i="11"/>
  <c r="G18" i="9" s="1"/>
  <c r="B34" i="11"/>
  <c r="E18" i="9" s="1"/>
  <c r="D44" i="11"/>
  <c r="G19" i="9" s="1"/>
  <c r="H19" i="9" s="1"/>
  <c r="B44" i="11"/>
  <c r="E19" i="9" s="1"/>
  <c r="F19" i="9" s="1"/>
  <c r="D24" i="11"/>
  <c r="G17" i="9" s="1"/>
  <c r="B24" i="11"/>
  <c r="E17" i="9" s="1"/>
  <c r="D13" i="11"/>
  <c r="G16" i="9" s="1"/>
  <c r="B13" i="11"/>
  <c r="E16" i="9" s="1"/>
  <c r="E43" i="10"/>
  <c r="G15" i="9" s="1"/>
  <c r="H24" i="9"/>
  <c r="F24" i="9"/>
  <c r="H14" i="9"/>
  <c r="F14" i="9"/>
  <c r="V8" i="7"/>
  <c r="P7" i="21"/>
  <c r="P8" i="21"/>
  <c r="P11" i="21"/>
  <c r="P12" i="21"/>
  <c r="P15" i="21"/>
  <c r="P16" i="21"/>
  <c r="P19" i="21"/>
  <c r="P20" i="21"/>
  <c r="P23" i="21"/>
  <c r="P24" i="21"/>
  <c r="L7" i="21"/>
  <c r="L8" i="21"/>
  <c r="L11" i="21"/>
  <c r="L12" i="21"/>
  <c r="L15" i="21"/>
  <c r="L16" i="21"/>
  <c r="L19" i="21"/>
  <c r="L20" i="21"/>
  <c r="L23" i="21"/>
  <c r="L24" i="21"/>
  <c r="O25" i="21"/>
  <c r="J25" i="21"/>
  <c r="K25" i="21"/>
  <c r="I25" i="21"/>
  <c r="D25" i="21"/>
  <c r="H25" i="21" s="1"/>
  <c r="D21" i="21"/>
  <c r="D17" i="21"/>
  <c r="H17" i="21" s="1"/>
  <c r="D13" i="21"/>
  <c r="H13" i="21" s="1"/>
  <c r="H11" i="21"/>
  <c r="H12" i="21"/>
  <c r="H15" i="21"/>
  <c r="H16" i="21"/>
  <c r="H19" i="21"/>
  <c r="H20" i="21"/>
  <c r="H7" i="21"/>
  <c r="H8" i="21"/>
  <c r="D9" i="21"/>
  <c r="P9" i="21" s="1"/>
  <c r="C30" i="11"/>
  <c r="E30" i="11"/>
  <c r="C31" i="11"/>
  <c r="E31" i="11"/>
  <c r="C32" i="11"/>
  <c r="E32" i="11"/>
  <c r="C33" i="11"/>
  <c r="E33" i="11"/>
  <c r="C40" i="11"/>
  <c r="E40" i="11"/>
  <c r="C41" i="11"/>
  <c r="E41" i="11"/>
  <c r="C43" i="10"/>
  <c r="E15" i="9"/>
  <c r="F42" i="10"/>
  <c r="D42" i="10"/>
  <c r="F41" i="10"/>
  <c r="D41" i="10"/>
  <c r="F40" i="10"/>
  <c r="D40" i="10"/>
  <c r="F39" i="10"/>
  <c r="D39" i="10"/>
  <c r="F38" i="10"/>
  <c r="D38" i="10"/>
  <c r="F37" i="10"/>
  <c r="D37" i="10"/>
  <c r="F36" i="10"/>
  <c r="D36" i="10"/>
  <c r="F11" i="10"/>
  <c r="D11" i="10"/>
  <c r="F10" i="10"/>
  <c r="D10" i="10"/>
  <c r="F9" i="10"/>
  <c r="D9" i="10"/>
  <c r="F8" i="10"/>
  <c r="D8" i="10"/>
  <c r="F7" i="10"/>
  <c r="D7" i="10"/>
  <c r="E23" i="11"/>
  <c r="C23" i="11"/>
  <c r="E22" i="11"/>
  <c r="C22" i="11"/>
  <c r="E21" i="11"/>
  <c r="C21" i="11"/>
  <c r="E20" i="11"/>
  <c r="C20" i="11"/>
  <c r="E19" i="11"/>
  <c r="C19" i="11"/>
  <c r="E12" i="11"/>
  <c r="C12" i="11"/>
  <c r="E11" i="11"/>
  <c r="C11" i="11"/>
  <c r="E10" i="11"/>
  <c r="C10" i="11"/>
  <c r="E9" i="11"/>
  <c r="C9" i="11"/>
  <c r="E8" i="11"/>
  <c r="C8" i="11"/>
  <c r="E7" i="11"/>
  <c r="C7" i="11"/>
  <c r="AK12" i="7"/>
  <c r="AL12" i="7" s="1"/>
  <c r="AI12" i="7"/>
  <c r="AJ12" i="7" s="1"/>
  <c r="AG12" i="7"/>
  <c r="AH12" i="7" s="1"/>
  <c r="AE12" i="7"/>
  <c r="AF12" i="7" s="1"/>
  <c r="AC12" i="7"/>
  <c r="AD12" i="7" s="1"/>
  <c r="AA12" i="7"/>
  <c r="AB12" i="7" s="1"/>
  <c r="Y12" i="7"/>
  <c r="Z12" i="7" s="1"/>
  <c r="W12" i="7"/>
  <c r="X12" i="7" s="1"/>
  <c r="U12" i="7"/>
  <c r="V12" i="7" s="1"/>
  <c r="S12" i="7"/>
  <c r="T12" i="7" s="1"/>
  <c r="K32" i="32" s="1"/>
  <c r="Q12" i="7"/>
  <c r="R12" i="7" s="1"/>
  <c r="J32" i="32" s="1"/>
  <c r="O12" i="7"/>
  <c r="M12" i="7"/>
  <c r="K12" i="7"/>
  <c r="L12" i="7" s="1"/>
  <c r="G32" i="32" s="1"/>
  <c r="I12" i="7"/>
  <c r="G12" i="7"/>
  <c r="E12" i="7"/>
  <c r="C12" i="7"/>
  <c r="B12" i="7"/>
  <c r="C17" i="52" s="1"/>
  <c r="P17" i="52" s="1"/>
  <c r="AL11" i="7"/>
  <c r="P11" i="7"/>
  <c r="N11" i="7"/>
  <c r="J11" i="7"/>
  <c r="P10" i="7"/>
  <c r="N10" i="7"/>
  <c r="J10" i="7"/>
  <c r="H10" i="7"/>
  <c r="F10" i="7"/>
  <c r="P9" i="7"/>
  <c r="N9" i="7"/>
  <c r="L9" i="7"/>
  <c r="J9" i="7"/>
  <c r="H9" i="7"/>
  <c r="F9" i="7"/>
  <c r="R8" i="7"/>
  <c r="P8" i="7"/>
  <c r="N8" i="7"/>
  <c r="L8" i="7"/>
  <c r="J8" i="7"/>
  <c r="H8" i="7"/>
  <c r="F8" i="7"/>
  <c r="D8" i="7"/>
  <c r="AC13" i="6"/>
  <c r="AA13" i="6"/>
  <c r="Y13" i="6"/>
  <c r="U13" i="6"/>
  <c r="S13" i="6"/>
  <c r="Q13" i="6"/>
  <c r="O13" i="6"/>
  <c r="M13" i="6"/>
  <c r="K13" i="6"/>
  <c r="L13" i="6" s="1"/>
  <c r="F26" i="32" s="1"/>
  <c r="I13" i="6"/>
  <c r="J13" i="6" s="1"/>
  <c r="E26" i="32" s="1"/>
  <c r="G13" i="6"/>
  <c r="C13" i="6"/>
  <c r="B13" i="6"/>
  <c r="AD12" i="6"/>
  <c r="Z12" i="6"/>
  <c r="T12" i="6"/>
  <c r="R12" i="6"/>
  <c r="P12" i="6"/>
  <c r="N12" i="6"/>
  <c r="J12" i="6"/>
  <c r="H12" i="6"/>
  <c r="D12" i="6"/>
  <c r="AD11" i="6"/>
  <c r="Z11" i="6"/>
  <c r="T11" i="6"/>
  <c r="R11" i="6"/>
  <c r="P11" i="6"/>
  <c r="N11" i="6"/>
  <c r="H11" i="6"/>
  <c r="AD10" i="6"/>
  <c r="Z10" i="6"/>
  <c r="T10" i="6"/>
  <c r="R10" i="6"/>
  <c r="P10" i="6"/>
  <c r="N10" i="6"/>
  <c r="H10" i="6"/>
  <c r="AD9" i="6"/>
  <c r="Z9" i="6"/>
  <c r="V9" i="6"/>
  <c r="T9" i="6"/>
  <c r="R9" i="6"/>
  <c r="P9" i="6"/>
  <c r="N9" i="6"/>
  <c r="H9" i="6"/>
  <c r="D9" i="6"/>
  <c r="H16" i="25"/>
  <c r="AG15" i="5"/>
  <c r="AE15" i="5"/>
  <c r="AF15" i="5" s="1"/>
  <c r="AC15" i="5"/>
  <c r="AA15" i="5"/>
  <c r="Y15" i="5"/>
  <c r="W15" i="5"/>
  <c r="U15" i="5"/>
  <c r="S15" i="5"/>
  <c r="Q15" i="5"/>
  <c r="O15" i="5"/>
  <c r="M15" i="5"/>
  <c r="I15" i="5"/>
  <c r="J15" i="5" s="1"/>
  <c r="E25" i="32" s="1"/>
  <c r="G15" i="5"/>
  <c r="C15" i="5"/>
  <c r="B15" i="5"/>
  <c r="AD14" i="5"/>
  <c r="X14" i="5"/>
  <c r="V14" i="5"/>
  <c r="T14" i="5"/>
  <c r="R14" i="5"/>
  <c r="P14" i="5"/>
  <c r="N14" i="5"/>
  <c r="H14" i="5"/>
  <c r="D14" i="5"/>
  <c r="AD13" i="5"/>
  <c r="X13" i="5"/>
  <c r="V13" i="5"/>
  <c r="T13" i="5"/>
  <c r="R13" i="5"/>
  <c r="P13" i="5"/>
  <c r="N13" i="5"/>
  <c r="H13" i="5"/>
  <c r="D13" i="5"/>
  <c r="AD12" i="5"/>
  <c r="X12" i="5"/>
  <c r="V12" i="5"/>
  <c r="T12" i="5"/>
  <c r="R12" i="5"/>
  <c r="P12" i="5"/>
  <c r="N12" i="5"/>
  <c r="H12" i="5"/>
  <c r="AD11" i="5"/>
  <c r="X11" i="5"/>
  <c r="V11" i="5"/>
  <c r="T11" i="5"/>
  <c r="R11" i="5"/>
  <c r="P11" i="5"/>
  <c r="N11" i="5"/>
  <c r="H11" i="5"/>
  <c r="D11" i="5"/>
  <c r="D11" i="4"/>
  <c r="H11" i="4"/>
  <c r="J11" i="4"/>
  <c r="L11" i="4"/>
  <c r="N11" i="4"/>
  <c r="P11" i="4"/>
  <c r="R11" i="4"/>
  <c r="T11" i="4"/>
  <c r="V11" i="4"/>
  <c r="D12" i="4"/>
  <c r="H12" i="4"/>
  <c r="J12" i="4"/>
  <c r="L12" i="4"/>
  <c r="N12" i="4"/>
  <c r="P12" i="4"/>
  <c r="R12" i="4"/>
  <c r="T12" i="4"/>
  <c r="V12" i="4"/>
  <c r="D13" i="4"/>
  <c r="H13" i="4"/>
  <c r="J13" i="4"/>
  <c r="L13" i="4"/>
  <c r="N13" i="4"/>
  <c r="P13" i="4"/>
  <c r="R13" i="4"/>
  <c r="T13" i="4"/>
  <c r="V13" i="4"/>
  <c r="D14" i="4"/>
  <c r="H14" i="4"/>
  <c r="J14" i="4"/>
  <c r="L14" i="4"/>
  <c r="N14" i="4"/>
  <c r="P14" i="4"/>
  <c r="R14" i="4"/>
  <c r="T14" i="4"/>
  <c r="V14" i="4"/>
  <c r="H15" i="4"/>
  <c r="J15" i="4"/>
  <c r="L15" i="4"/>
  <c r="N15" i="4"/>
  <c r="R15" i="4"/>
  <c r="T15" i="4"/>
  <c r="D16" i="4"/>
  <c r="H16" i="4"/>
  <c r="J16" i="4"/>
  <c r="L16" i="4"/>
  <c r="N16" i="4"/>
  <c r="P16" i="4"/>
  <c r="R16" i="4"/>
  <c r="T16" i="4"/>
  <c r="V16" i="4"/>
  <c r="B17" i="4"/>
  <c r="C17" i="4"/>
  <c r="G17" i="4"/>
  <c r="K17" i="4"/>
  <c r="M17" i="4"/>
  <c r="O17" i="4"/>
  <c r="Q17" i="4"/>
  <c r="S17" i="4"/>
  <c r="U17" i="4"/>
  <c r="W17" i="4"/>
  <c r="Y17" i="4"/>
  <c r="AA17" i="4"/>
  <c r="O27" i="32" s="1"/>
  <c r="AC17" i="4"/>
  <c r="AE17" i="4"/>
  <c r="H10" i="3"/>
  <c r="J10" i="3"/>
  <c r="L10" i="3"/>
  <c r="N10" i="3"/>
  <c r="P10" i="3"/>
  <c r="R10" i="3"/>
  <c r="T10" i="3"/>
  <c r="V10" i="3"/>
  <c r="D11" i="3"/>
  <c r="H11" i="3"/>
  <c r="J11" i="3"/>
  <c r="L11" i="3"/>
  <c r="N11" i="3"/>
  <c r="P11" i="3"/>
  <c r="R11" i="3"/>
  <c r="T11" i="3"/>
  <c r="V11" i="3"/>
  <c r="D13" i="3"/>
  <c r="H13" i="3"/>
  <c r="J13" i="3"/>
  <c r="L13" i="3"/>
  <c r="N13" i="3"/>
  <c r="P13" i="3"/>
  <c r="R13" i="3"/>
  <c r="T13" i="3"/>
  <c r="V13" i="3"/>
  <c r="D14" i="3"/>
  <c r="H14" i="3"/>
  <c r="J14" i="3"/>
  <c r="L14" i="3"/>
  <c r="N14" i="3"/>
  <c r="P14" i="3"/>
  <c r="R14" i="3"/>
  <c r="T14" i="3"/>
  <c r="V14" i="3"/>
  <c r="D15" i="3"/>
  <c r="H15" i="3"/>
  <c r="J15" i="3"/>
  <c r="L15" i="3"/>
  <c r="N15" i="3"/>
  <c r="P15" i="3"/>
  <c r="R15" i="3"/>
  <c r="T15" i="3"/>
  <c r="V15" i="3"/>
  <c r="B16" i="3"/>
  <c r="H13" i="25"/>
  <c r="D10" i="2"/>
  <c r="H10" i="2"/>
  <c r="J10" i="2"/>
  <c r="L10" i="2"/>
  <c r="N10" i="2"/>
  <c r="P10" i="2"/>
  <c r="R10" i="2"/>
  <c r="T10" i="2"/>
  <c r="V10" i="2"/>
  <c r="D11" i="2"/>
  <c r="H11" i="2"/>
  <c r="J11" i="2"/>
  <c r="L11" i="2"/>
  <c r="N11" i="2"/>
  <c r="P11" i="2"/>
  <c r="R11" i="2"/>
  <c r="T11" i="2"/>
  <c r="V11" i="2"/>
  <c r="D12" i="2"/>
  <c r="H12" i="2"/>
  <c r="J12" i="2"/>
  <c r="L12" i="2"/>
  <c r="N12" i="2"/>
  <c r="P12" i="2"/>
  <c r="R12" i="2"/>
  <c r="T12" i="2"/>
  <c r="V12" i="2"/>
  <c r="D13" i="2"/>
  <c r="H13" i="2"/>
  <c r="J13" i="2"/>
  <c r="L13" i="2"/>
  <c r="N13" i="2"/>
  <c r="P13" i="2"/>
  <c r="R13" i="2"/>
  <c r="T13" i="2"/>
  <c r="V13" i="2"/>
  <c r="H15" i="5"/>
  <c r="D25" i="32" s="1"/>
  <c r="T15" i="5"/>
  <c r="J25" i="32" s="1"/>
  <c r="N15" i="5"/>
  <c r="G25" i="32" s="1"/>
  <c r="V15" i="5"/>
  <c r="K25" i="32" s="1"/>
  <c r="E18" i="37"/>
  <c r="E5" i="1"/>
  <c r="F5" i="1" s="1"/>
  <c r="D10" i="25"/>
  <c r="E7" i="46" s="1"/>
  <c r="E4" i="1"/>
  <c r="E32" i="1" s="1"/>
  <c r="D9" i="25"/>
  <c r="E6" i="46" s="1"/>
  <c r="E3" i="1"/>
  <c r="F3" i="1" s="1"/>
  <c r="E2" i="1"/>
  <c r="E6" i="1" s="1"/>
  <c r="D7" i="25"/>
  <c r="E4" i="46" s="1"/>
  <c r="B15" i="39"/>
  <c r="H15" i="39" s="1"/>
  <c r="B13" i="39"/>
  <c r="C20" i="36"/>
  <c r="E20" i="36" s="1"/>
  <c r="E20" i="37"/>
  <c r="B12" i="39"/>
  <c r="D12" i="39" s="1"/>
  <c r="C19" i="36"/>
  <c r="C16" i="36"/>
  <c r="E16" i="36" s="1"/>
  <c r="F8" i="39"/>
  <c r="E12" i="25"/>
  <c r="F12" i="25" s="1"/>
  <c r="B8" i="42"/>
  <c r="I12" i="25"/>
  <c r="F12" i="39"/>
  <c r="D43" i="10"/>
  <c r="F26" i="9"/>
  <c r="H26" i="9"/>
  <c r="D12" i="7"/>
  <c r="C32" i="32" s="1"/>
  <c r="F25" i="9"/>
  <c r="H25" i="9"/>
  <c r="C34" i="11"/>
  <c r="C44" i="11"/>
  <c r="C24" i="11"/>
  <c r="C13" i="11"/>
  <c r="D12" i="10"/>
  <c r="K26" i="21"/>
  <c r="I26" i="21"/>
  <c r="G26" i="21"/>
  <c r="H21" i="21"/>
  <c r="F26" i="21"/>
  <c r="F43" i="10"/>
  <c r="F12" i="10"/>
  <c r="D14" i="1"/>
  <c r="D13" i="25" s="1"/>
  <c r="E10" i="46" s="1"/>
  <c r="E13" i="11"/>
  <c r="E34" i="11"/>
  <c r="E24" i="11"/>
  <c r="E44" i="11"/>
  <c r="P12" i="7"/>
  <c r="I32" i="32" s="1"/>
  <c r="H13" i="6"/>
  <c r="D26" i="32" s="1"/>
  <c r="N13" i="6"/>
  <c r="P13" i="6"/>
  <c r="G26" i="32" s="1"/>
  <c r="R13" i="6"/>
  <c r="T13" i="6"/>
  <c r="I26" i="32" s="1"/>
  <c r="Z13" i="6"/>
  <c r="N26" i="32" s="1"/>
  <c r="N26" i="21"/>
  <c r="M26" i="21"/>
  <c r="P25" i="21"/>
  <c r="L21" i="21"/>
  <c r="P21" i="21"/>
  <c r="P17" i="21"/>
  <c r="L13" i="21"/>
  <c r="H9" i="21"/>
  <c r="I14" i="25"/>
  <c r="B10" i="41"/>
  <c r="D6" i="43"/>
  <c r="F4" i="1"/>
  <c r="D3" i="1"/>
  <c r="F13" i="39"/>
  <c r="D11" i="43"/>
  <c r="E10" i="37"/>
  <c r="F5" i="39"/>
  <c r="B5" i="39"/>
  <c r="L19" i="36"/>
  <c r="S19" i="36"/>
  <c r="C18" i="25"/>
  <c r="D12" i="43"/>
  <c r="D7" i="43"/>
  <c r="F14" i="39"/>
  <c r="D19" i="25"/>
  <c r="D27" i="28" s="1"/>
  <c r="F7" i="25"/>
  <c r="B3" i="39"/>
  <c r="B7" i="39" s="1"/>
  <c r="J8" i="25"/>
  <c r="B4" i="39"/>
  <c r="D4" i="39" s="1"/>
  <c r="E9" i="37"/>
  <c r="F4" i="39"/>
  <c r="B6" i="39"/>
  <c r="E11" i="37"/>
  <c r="F6" i="39"/>
  <c r="C42" i="36"/>
  <c r="J42" i="36" s="1"/>
  <c r="S20" i="36"/>
  <c r="L20" i="36"/>
  <c r="J7" i="25"/>
  <c r="E8" i="37"/>
  <c r="F3" i="39"/>
  <c r="D13" i="39"/>
  <c r="H13" i="39"/>
  <c r="F15" i="39"/>
  <c r="H12" i="39"/>
  <c r="C14" i="25"/>
  <c r="D8" i="43" s="1"/>
  <c r="C14" i="46"/>
  <c r="B15" i="41"/>
  <c r="D15" i="41" s="1"/>
  <c r="D31" i="41" s="1"/>
  <c r="C13" i="46"/>
  <c r="D10" i="43"/>
  <c r="B12" i="42"/>
  <c r="B14" i="41"/>
  <c r="D14" i="41" s="1"/>
  <c r="D30" i="41" s="1"/>
  <c r="B13" i="41"/>
  <c r="C12" i="46"/>
  <c r="C15" i="46" s="1"/>
  <c r="D9" i="43"/>
  <c r="B11" i="42"/>
  <c r="B14" i="42" s="1"/>
  <c r="C11" i="46"/>
  <c r="B11" i="41"/>
  <c r="D11" i="41" s="1"/>
  <c r="D27" i="41" s="1"/>
  <c r="F13" i="25"/>
  <c r="D10" i="41"/>
  <c r="D26" i="41" s="1"/>
  <c r="B10" i="42"/>
  <c r="B6" i="42"/>
  <c r="B8" i="41"/>
  <c r="D8" i="41" s="1"/>
  <c r="F9" i="25"/>
  <c r="B5" i="42"/>
  <c r="B7" i="41"/>
  <c r="D7" i="41" s="1"/>
  <c r="B4" i="42"/>
  <c r="B6" i="41"/>
  <c r="D6" i="41" s="1"/>
  <c r="B5" i="41"/>
  <c r="J17" i="25"/>
  <c r="I11" i="25"/>
  <c r="E11" i="25"/>
  <c r="F16" i="25"/>
  <c r="J16" i="25"/>
  <c r="C11" i="25"/>
  <c r="D11" i="25" s="1"/>
  <c r="E8" i="46" s="1"/>
  <c r="D6" i="39"/>
  <c r="H6" i="39"/>
  <c r="D13" i="43"/>
  <c r="H4" i="39"/>
  <c r="D3" i="39"/>
  <c r="H3" i="39"/>
  <c r="D5" i="39"/>
  <c r="H5" i="39"/>
  <c r="F7" i="39"/>
  <c r="B16" i="41"/>
  <c r="D16" i="41" s="1"/>
  <c r="D32" i="41" s="1"/>
  <c r="D13" i="41"/>
  <c r="D29" i="41" s="1"/>
  <c r="C8" i="46"/>
  <c r="D5" i="41"/>
  <c r="H17" i="25"/>
  <c r="D18" i="1"/>
  <c r="E43" i="1" s="1"/>
  <c r="F18" i="1"/>
  <c r="F17" i="25"/>
  <c r="H7" i="39" l="1"/>
  <c r="D7" i="39"/>
  <c r="B12" i="41"/>
  <c r="D12" i="41" s="1"/>
  <c r="D28" i="41" s="1"/>
  <c r="C20" i="25"/>
  <c r="N27" i="32"/>
  <c r="L27" i="32"/>
  <c r="J27" i="32"/>
  <c r="H27" i="32"/>
  <c r="D27" i="32"/>
  <c r="D20" i="27" s="1"/>
  <c r="D15" i="5"/>
  <c r="B25" i="32" s="1"/>
  <c r="D13" i="6"/>
  <c r="D31" i="27"/>
  <c r="M27" i="32"/>
  <c r="B27" i="32"/>
  <c r="D17" i="4"/>
  <c r="B24" i="32" s="1"/>
  <c r="C14" i="52"/>
  <c r="M26" i="5"/>
  <c r="C17" i="49"/>
  <c r="N17" i="49" s="1"/>
  <c r="H50" i="30"/>
  <c r="C15" i="52"/>
  <c r="D30" i="47"/>
  <c r="Z23" i="6"/>
  <c r="AF23" i="6"/>
  <c r="W23" i="6"/>
  <c r="K23" i="6"/>
  <c r="AI23" i="6"/>
  <c r="AC23" i="6"/>
  <c r="C18" i="49"/>
  <c r="F18" i="49" s="1"/>
  <c r="D52" i="30"/>
  <c r="H52" i="30"/>
  <c r="M10" i="32"/>
  <c r="E8" i="45"/>
  <c r="C6" i="52"/>
  <c r="C9" i="49"/>
  <c r="N9" i="49" s="1"/>
  <c r="D43" i="15"/>
  <c r="D18" i="47"/>
  <c r="E18" i="47" s="1"/>
  <c r="C10" i="49"/>
  <c r="N10" i="49" s="1"/>
  <c r="C7" i="52"/>
  <c r="D10" i="47"/>
  <c r="C9" i="36"/>
  <c r="J36" i="36" s="1"/>
  <c r="D17" i="47"/>
  <c r="E17" i="47" s="1"/>
  <c r="C10" i="52"/>
  <c r="H30" i="2"/>
  <c r="E32" i="47"/>
  <c r="C13" i="49"/>
  <c r="C20" i="32"/>
  <c r="D17" i="2"/>
  <c r="N23" i="6"/>
  <c r="G18" i="49"/>
  <c r="H18" i="49" s="1"/>
  <c r="F49" i="47"/>
  <c r="C10" i="47"/>
  <c r="K27" i="32"/>
  <c r="I27" i="32"/>
  <c r="G27" i="32"/>
  <c r="K14" i="36"/>
  <c r="F14" i="36"/>
  <c r="O13" i="36"/>
  <c r="B16" i="31"/>
  <c r="C16" i="31" s="1"/>
  <c r="D16" i="3"/>
  <c r="B9" i="45" s="1"/>
  <c r="K37" i="45"/>
  <c r="K30" i="2"/>
  <c r="P26" i="5"/>
  <c r="I8" i="49"/>
  <c r="K8" i="49"/>
  <c r="G9" i="49"/>
  <c r="H9" i="49" s="1"/>
  <c r="E9" i="49"/>
  <c r="F9" i="49" s="1"/>
  <c r="F48" i="47"/>
  <c r="G10" i="49"/>
  <c r="H10" i="49" s="1"/>
  <c r="E10" i="49"/>
  <c r="F10" i="49" s="1"/>
  <c r="Q57" i="26"/>
  <c r="T57" i="26"/>
  <c r="G53" i="30"/>
  <c r="I19" i="49"/>
  <c r="D41" i="30"/>
  <c r="E10" i="45"/>
  <c r="H26" i="32"/>
  <c r="C11" i="52"/>
  <c r="AG29" i="3"/>
  <c r="D27" i="47"/>
  <c r="L29" i="3"/>
  <c r="AA29" i="3"/>
  <c r="AD29" i="3"/>
  <c r="C14" i="49"/>
  <c r="N14" i="49" s="1"/>
  <c r="C13" i="52"/>
  <c r="J29" i="4"/>
  <c r="E33" i="47"/>
  <c r="C16" i="49"/>
  <c r="B10" i="45"/>
  <c r="B26" i="32"/>
  <c r="C11" i="36"/>
  <c r="D19" i="47"/>
  <c r="E19" i="47" s="1"/>
  <c r="C31" i="36"/>
  <c r="C5" i="52"/>
  <c r="C8" i="49"/>
  <c r="N8" i="49" s="1"/>
  <c r="D8" i="47"/>
  <c r="J18" i="13"/>
  <c r="E8" i="49"/>
  <c r="F47" i="47"/>
  <c r="C8" i="47"/>
  <c r="F41" i="30"/>
  <c r="H41" i="30" s="1"/>
  <c r="D53" i="30"/>
  <c r="F27" i="32"/>
  <c r="K21" i="36"/>
  <c r="O21" i="36" s="1"/>
  <c r="E27" i="32"/>
  <c r="J13" i="49"/>
  <c r="U29" i="3"/>
  <c r="M29" i="4"/>
  <c r="C18" i="47"/>
  <c r="C19" i="47"/>
  <c r="C17" i="47"/>
  <c r="L18" i="49"/>
  <c r="K57" i="26"/>
  <c r="N57" i="26"/>
  <c r="D45" i="30"/>
  <c r="H45" i="30"/>
  <c r="G17" i="49"/>
  <c r="H17" i="49" s="1"/>
  <c r="G16" i="49"/>
  <c r="G13" i="49"/>
  <c r="O29" i="3"/>
  <c r="K14" i="49"/>
  <c r="L14" i="49" s="1"/>
  <c r="H10" i="25"/>
  <c r="D5" i="1"/>
  <c r="L10" i="25"/>
  <c r="D10" i="1"/>
  <c r="C12" i="36"/>
  <c r="E12" i="36" s="1"/>
  <c r="S45" i="19"/>
  <c r="P45" i="19"/>
  <c r="V45" i="19"/>
  <c r="Y45" i="19"/>
  <c r="G11" i="49"/>
  <c r="G12" i="49" s="1"/>
  <c r="E11" i="49"/>
  <c r="I11" i="49"/>
  <c r="V21" i="19"/>
  <c r="S21" i="19"/>
  <c r="P21" i="19"/>
  <c r="M21" i="19"/>
  <c r="I14" i="32"/>
  <c r="G14" i="32"/>
  <c r="C11" i="49"/>
  <c r="C8" i="52"/>
  <c r="H14" i="32"/>
  <c r="F14" i="32"/>
  <c r="E14" i="32"/>
  <c r="E11" i="47"/>
  <c r="C11" i="47"/>
  <c r="K11" i="49"/>
  <c r="E12" i="49"/>
  <c r="I12" i="49"/>
  <c r="K19" i="49"/>
  <c r="J26" i="21"/>
  <c r="L9" i="21"/>
  <c r="L17" i="21"/>
  <c r="D26" i="21"/>
  <c r="L26" i="21" s="1"/>
  <c r="L25" i="21"/>
  <c r="V21" i="7"/>
  <c r="C20" i="49"/>
  <c r="J15" i="25"/>
  <c r="H15" i="25"/>
  <c r="K11" i="39"/>
  <c r="D15" i="39"/>
  <c r="J65" i="26"/>
  <c r="J61" i="26"/>
  <c r="E41" i="30"/>
  <c r="F53" i="47"/>
  <c r="B40" i="47"/>
  <c r="F52" i="47"/>
  <c r="B39" i="47"/>
  <c r="D8" i="25"/>
  <c r="E5" i="46" s="1"/>
  <c r="C9" i="47"/>
  <c r="D9" i="47"/>
  <c r="D23" i="27"/>
  <c r="E21" i="37"/>
  <c r="AB21" i="7"/>
  <c r="Y21" i="7"/>
  <c r="AB13" i="6"/>
  <c r="D33" i="27" s="1"/>
  <c r="D22" i="27"/>
  <c r="AB15" i="5"/>
  <c r="N25" i="32" s="1"/>
  <c r="S26" i="5"/>
  <c r="AD15" i="5"/>
  <c r="O25" i="32" s="1"/>
  <c r="AE26" i="5"/>
  <c r="D30" i="27"/>
  <c r="Z17" i="4"/>
  <c r="N24" i="32" s="1"/>
  <c r="AB29" i="4"/>
  <c r="AB17" i="4"/>
  <c r="O24" i="32" s="1"/>
  <c r="Z17" i="2"/>
  <c r="Z30" i="2"/>
  <c r="B9" i="41"/>
  <c r="D9" i="41" s="1"/>
  <c r="B9" i="39"/>
  <c r="D9" i="39" s="1"/>
  <c r="E38" i="1"/>
  <c r="E45" i="30"/>
  <c r="H12" i="7"/>
  <c r="E32" i="32" s="1"/>
  <c r="J12" i="7"/>
  <c r="F32" i="32" s="1"/>
  <c r="F12" i="7"/>
  <c r="D32" i="32" s="1"/>
  <c r="C48" i="36"/>
  <c r="J48" i="36" s="1"/>
  <c r="N12" i="7"/>
  <c r="H32" i="32" s="1"/>
  <c r="AF17" i="4"/>
  <c r="B17" i="41"/>
  <c r="F17" i="9"/>
  <c r="C10" i="39"/>
  <c r="C18" i="32"/>
  <c r="J17" i="2"/>
  <c r="F18" i="32" s="1"/>
  <c r="N17" i="2"/>
  <c r="R17" i="2"/>
  <c r="J18" i="32" s="1"/>
  <c r="V17" i="2"/>
  <c r="L18" i="32" s="1"/>
  <c r="H17" i="2"/>
  <c r="E18" i="32" s="1"/>
  <c r="L17" i="2"/>
  <c r="G18" i="32" s="1"/>
  <c r="P17" i="2"/>
  <c r="T17" i="2"/>
  <c r="K18" i="32" s="1"/>
  <c r="D35" i="17"/>
  <c r="L9" i="32" s="1"/>
  <c r="J12" i="15"/>
  <c r="E8" i="32" s="1"/>
  <c r="D39" i="13"/>
  <c r="J39" i="13"/>
  <c r="P39" i="13"/>
  <c r="E26" i="21"/>
  <c r="I45" i="30"/>
  <c r="H18" i="25"/>
  <c r="V26" i="5"/>
  <c r="C14" i="39"/>
  <c r="F15" i="25"/>
  <c r="L18" i="25"/>
  <c r="F18" i="25"/>
  <c r="L15" i="25"/>
  <c r="E14" i="37"/>
  <c r="D11" i="46"/>
  <c r="H11" i="46" s="1"/>
  <c r="L20" i="32"/>
  <c r="C5" i="36"/>
  <c r="K11" i="25"/>
  <c r="L11" i="25" s="1"/>
  <c r="H34" i="15"/>
  <c r="N8" i="32" s="1"/>
  <c r="G20" i="9"/>
  <c r="F15" i="9"/>
  <c r="H15" i="9"/>
  <c r="H16" i="9"/>
  <c r="H17" i="9"/>
  <c r="F16" i="9"/>
  <c r="E20" i="9"/>
  <c r="E27" i="9" s="1"/>
  <c r="F18" i="9"/>
  <c r="H18" i="9"/>
  <c r="F22" i="36"/>
  <c r="H14" i="36"/>
  <c r="C16" i="46"/>
  <c r="E12" i="37"/>
  <c r="J11" i="25"/>
  <c r="V13" i="6"/>
  <c r="J26" i="32" s="1"/>
  <c r="X13" i="6"/>
  <c r="K16" i="37"/>
  <c r="T16" i="31"/>
  <c r="U16" i="31" s="1"/>
  <c r="D47" i="36"/>
  <c r="M47" i="36" s="1"/>
  <c r="K17" i="36"/>
  <c r="AA41" i="26"/>
  <c r="F9" i="41"/>
  <c r="F12" i="41"/>
  <c r="G28" i="41" s="1"/>
  <c r="I38" i="45"/>
  <c r="K38" i="44"/>
  <c r="K45" i="44" s="1"/>
  <c r="E49" i="36"/>
  <c r="E50" i="36" s="1"/>
  <c r="C32" i="36"/>
  <c r="H12" i="15"/>
  <c r="D8" i="32" s="1"/>
  <c r="L12" i="15"/>
  <c r="F8" i="32" s="1"/>
  <c r="F12" i="15"/>
  <c r="C8" i="32" s="1"/>
  <c r="G43" i="15"/>
  <c r="F34" i="15"/>
  <c r="M8" i="32" s="1"/>
  <c r="J34" i="15"/>
  <c r="O8" i="32" s="1"/>
  <c r="C6" i="36"/>
  <c r="E6" i="36" s="1"/>
  <c r="L12" i="17"/>
  <c r="F9" i="32" s="1"/>
  <c r="F12" i="17"/>
  <c r="C9" i="32" s="1"/>
  <c r="C7" i="36"/>
  <c r="L7" i="36" s="1"/>
  <c r="L12" i="19"/>
  <c r="F10" i="32" s="1"/>
  <c r="I29" i="3"/>
  <c r="AB26" i="5"/>
  <c r="C29" i="47" s="1"/>
  <c r="E37" i="30"/>
  <c r="L15" i="5"/>
  <c r="F25" i="32" s="1"/>
  <c r="I47" i="26"/>
  <c r="P13" i="21"/>
  <c r="O17" i="36"/>
  <c r="R61" i="26"/>
  <c r="T61" i="26" s="1"/>
  <c r="T59" i="26"/>
  <c r="F13" i="41"/>
  <c r="G29" i="41" s="1"/>
  <c r="G20" i="32"/>
  <c r="H8" i="8" s="1"/>
  <c r="P29" i="4"/>
  <c r="V29" i="4"/>
  <c r="Q23" i="6"/>
  <c r="C30" i="47"/>
  <c r="G55" i="47" s="1"/>
  <c r="M15" i="49"/>
  <c r="K49" i="36"/>
  <c r="T30" i="2"/>
  <c r="R29" i="3"/>
  <c r="X29" i="3"/>
  <c r="C27" i="47" s="1"/>
  <c r="S29" i="4"/>
  <c r="Y29" i="4"/>
  <c r="C28" i="47" s="1"/>
  <c r="Y26" i="5"/>
  <c r="T23" i="6"/>
  <c r="G39" i="13"/>
  <c r="M39" i="13"/>
  <c r="G67" i="26"/>
  <c r="M19" i="49"/>
  <c r="D21" i="27"/>
  <c r="D28" i="27"/>
  <c r="E15" i="49"/>
  <c r="K59" i="26"/>
  <c r="K62" i="26"/>
  <c r="O61" i="26"/>
  <c r="O67" i="26" s="1"/>
  <c r="Q67" i="26" s="1"/>
  <c r="P61" i="26"/>
  <c r="P67" i="26" s="1"/>
  <c r="I66" i="26"/>
  <c r="K66" i="26" s="1"/>
  <c r="I64" i="26"/>
  <c r="K64" i="26" s="1"/>
  <c r="I60" i="26"/>
  <c r="K60" i="26" s="1"/>
  <c r="S59" i="26"/>
  <c r="S61" i="26" s="1"/>
  <c r="S67" i="26" s="1"/>
  <c r="N67" i="26"/>
  <c r="I63" i="26"/>
  <c r="K63" i="26" s="1"/>
  <c r="M67" i="26"/>
  <c r="L68" i="26" s="1"/>
  <c r="G44" i="17"/>
  <c r="M44" i="17"/>
  <c r="D44" i="17"/>
  <c r="J44" i="17"/>
  <c r="P44" i="17"/>
  <c r="S22" i="26"/>
  <c r="U22" i="26"/>
  <c r="W21" i="26"/>
  <c r="AO4" i="26" s="1"/>
  <c r="V41" i="26"/>
  <c r="U41" i="26"/>
  <c r="H22" i="26"/>
  <c r="T22" i="26"/>
  <c r="Q22" i="26"/>
  <c r="N22" i="26"/>
  <c r="AB40" i="26"/>
  <c r="AR8" i="26" s="1"/>
  <c r="Y41" i="26"/>
  <c r="Y47" i="26" s="1"/>
  <c r="R31" i="26"/>
  <c r="R23" i="26"/>
  <c r="R12" i="26"/>
  <c r="R9" i="26"/>
  <c r="E5" i="36"/>
  <c r="D8" i="1"/>
  <c r="D21" i="17"/>
  <c r="G21" i="17"/>
  <c r="J21" i="17"/>
  <c r="M21" i="17"/>
  <c r="P21" i="17"/>
  <c r="L34" i="15"/>
  <c r="P8" i="32" s="1"/>
  <c r="D45" i="19"/>
  <c r="J45" i="19"/>
  <c r="M45" i="19"/>
  <c r="D21" i="19"/>
  <c r="G21" i="19"/>
  <c r="J21" i="19"/>
  <c r="J43" i="15"/>
  <c r="M43" i="15"/>
  <c r="P43" i="15"/>
  <c r="J21" i="15"/>
  <c r="M21" i="15"/>
  <c r="G21" i="15"/>
  <c r="P21" i="15"/>
  <c r="E31" i="1"/>
  <c r="E34" i="1"/>
  <c r="G11" i="25"/>
  <c r="H11" i="25" s="1"/>
  <c r="D21" i="15"/>
  <c r="D18" i="13"/>
  <c r="P18" i="13"/>
  <c r="G18" i="13"/>
  <c r="M18" i="13"/>
  <c r="H11" i="13"/>
  <c r="D7" i="32" s="1"/>
  <c r="D14" i="42"/>
  <c r="D7" i="42"/>
  <c r="B7" i="42"/>
  <c r="B15" i="42" s="1"/>
  <c r="F10" i="42"/>
  <c r="F7" i="1"/>
  <c r="D2" i="1"/>
  <c r="L31" i="13"/>
  <c r="P7" i="32" s="1"/>
  <c r="H31" i="13"/>
  <c r="N7" i="32" s="1"/>
  <c r="D31" i="13"/>
  <c r="L7" i="32" s="1"/>
  <c r="AD13" i="6"/>
  <c r="M26" i="32" s="1"/>
  <c r="AH15" i="5"/>
  <c r="P15" i="5"/>
  <c r="H25" i="32" s="1"/>
  <c r="D21" i="28"/>
  <c r="G14" i="39"/>
  <c r="G16" i="39" s="1"/>
  <c r="H9" i="39"/>
  <c r="L16" i="36"/>
  <c r="F14" i="1"/>
  <c r="E20" i="32"/>
  <c r="C46" i="36"/>
  <c r="J46" i="36" s="1"/>
  <c r="C21" i="36"/>
  <c r="S21" i="36" s="1"/>
  <c r="D17" i="1"/>
  <c r="D16" i="25" s="1"/>
  <c r="E13" i="46" s="1"/>
  <c r="E19" i="36"/>
  <c r="C45" i="36"/>
  <c r="J45" i="36" s="1"/>
  <c r="E17" i="1"/>
  <c r="F17" i="1" s="1"/>
  <c r="E19" i="37"/>
  <c r="D26" i="27"/>
  <c r="Z15" i="5"/>
  <c r="M25" i="32" s="1"/>
  <c r="R15" i="5"/>
  <c r="I25" i="32" s="1"/>
  <c r="X15" i="5"/>
  <c r="L25" i="32" s="1"/>
  <c r="D23" i="28"/>
  <c r="D27" i="27"/>
  <c r="B11" i="39"/>
  <c r="J17" i="4"/>
  <c r="E24" i="32" s="1"/>
  <c r="D16" i="1"/>
  <c r="E41" i="1" s="1"/>
  <c r="H17" i="4"/>
  <c r="D24" i="32" s="1"/>
  <c r="L17" i="4"/>
  <c r="G24" i="32" s="1"/>
  <c r="N17" i="4"/>
  <c r="H24" i="32" s="1"/>
  <c r="P17" i="4"/>
  <c r="I24" i="32" s="1"/>
  <c r="R17" i="4"/>
  <c r="J24" i="32" s="1"/>
  <c r="T17" i="4"/>
  <c r="K24" i="32" s="1"/>
  <c r="AD17" i="4"/>
  <c r="V17" i="4"/>
  <c r="L24" i="32" s="1"/>
  <c r="X17" i="4"/>
  <c r="M24" i="32" s="1"/>
  <c r="D24" i="27"/>
  <c r="E16" i="1"/>
  <c r="C18" i="36"/>
  <c r="D29" i="27"/>
  <c r="C19" i="32"/>
  <c r="J16" i="3"/>
  <c r="F19" i="32" s="1"/>
  <c r="P25" i="32" s="1"/>
  <c r="N16" i="3"/>
  <c r="H19" i="32" s="1"/>
  <c r="R16" i="3"/>
  <c r="J19" i="32" s="1"/>
  <c r="V16" i="3"/>
  <c r="L19" i="32" s="1"/>
  <c r="Z16" i="3"/>
  <c r="H16" i="3"/>
  <c r="E19" i="32" s="1"/>
  <c r="L16" i="3"/>
  <c r="P16" i="3"/>
  <c r="I19" i="32" s="1"/>
  <c r="T16" i="3"/>
  <c r="K19" i="32" s="1"/>
  <c r="E15" i="37"/>
  <c r="Q30" i="2"/>
  <c r="N30" i="2"/>
  <c r="W30" i="2"/>
  <c r="C26" i="47" s="1"/>
  <c r="I20" i="32"/>
  <c r="D15" i="27" s="1"/>
  <c r="L14" i="25"/>
  <c r="L12" i="25"/>
  <c r="E13" i="1"/>
  <c r="E15" i="1" s="1"/>
  <c r="D15" i="1" s="1"/>
  <c r="K20" i="32"/>
  <c r="L8" i="8" s="1"/>
  <c r="J12" i="25"/>
  <c r="H12" i="25"/>
  <c r="E14" i="25"/>
  <c r="H14" i="25" s="1"/>
  <c r="H37" i="30"/>
  <c r="B8" i="39"/>
  <c r="O26" i="21"/>
  <c r="P26" i="21" s="1"/>
  <c r="H26" i="21"/>
  <c r="H9" i="9"/>
  <c r="I37" i="30"/>
  <c r="D22" i="37"/>
  <c r="G16" i="37"/>
  <c r="E22" i="37"/>
  <c r="C24" i="37"/>
  <c r="E24" i="37" s="1"/>
  <c r="B24" i="37"/>
  <c r="D16" i="37"/>
  <c r="D12" i="37"/>
  <c r="F24" i="37"/>
  <c r="G24" i="37" s="1"/>
  <c r="G22" i="37"/>
  <c r="K22" i="37"/>
  <c r="I24" i="37"/>
  <c r="G12" i="37"/>
  <c r="E16" i="39"/>
  <c r="F10" i="39"/>
  <c r="D17" i="25"/>
  <c r="E14" i="46" s="1"/>
  <c r="L9" i="25"/>
  <c r="E8" i="8"/>
  <c r="F9" i="1"/>
  <c r="K8" i="39"/>
  <c r="P16" i="31"/>
  <c r="Q16" i="31" s="1"/>
  <c r="X16" i="31"/>
  <c r="Y16" i="31" s="1"/>
  <c r="H16" i="31"/>
  <c r="I16" i="31" s="1"/>
  <c r="K46" i="26"/>
  <c r="AL10" i="26" s="1"/>
  <c r="R34" i="26"/>
  <c r="L41" i="26"/>
  <c r="L47" i="26" s="1"/>
  <c r="X41" i="26"/>
  <c r="X47" i="26" s="1"/>
  <c r="AB46" i="26"/>
  <c r="AR10" i="26" s="1"/>
  <c r="AK9" i="26"/>
  <c r="AK13" i="26" s="1"/>
  <c r="AR6" i="26"/>
  <c r="D22" i="26"/>
  <c r="D47" i="26" s="1"/>
  <c r="R21" i="26"/>
  <c r="R40" i="26"/>
  <c r="F46" i="26"/>
  <c r="AI10" i="26" s="1"/>
  <c r="R7" i="26"/>
  <c r="K40" i="26"/>
  <c r="AL8" i="26" s="1"/>
  <c r="K29" i="26"/>
  <c r="AL6" i="26" s="1"/>
  <c r="K21" i="26"/>
  <c r="AL4" i="26" s="1"/>
  <c r="W40" i="26"/>
  <c r="AO8" i="26" s="1"/>
  <c r="O22" i="26"/>
  <c r="O47" i="26" s="1"/>
  <c r="E41" i="26"/>
  <c r="E47" i="26" s="1"/>
  <c r="S41" i="26"/>
  <c r="M22" i="26"/>
  <c r="R11" i="26"/>
  <c r="AB22" i="26"/>
  <c r="AR5" i="26" s="1"/>
  <c r="T47" i="26"/>
  <c r="AR9" i="26"/>
  <c r="AA47" i="26"/>
  <c r="B22" i="26"/>
  <c r="V22" i="26"/>
  <c r="V47" i="26" s="1"/>
  <c r="B41" i="26"/>
  <c r="P21" i="26"/>
  <c r="P22" i="26" s="1"/>
  <c r="P29" i="26"/>
  <c r="P41" i="26" s="1"/>
  <c r="F14" i="26"/>
  <c r="F29" i="26"/>
  <c r="F35" i="26"/>
  <c r="AI7" i="26" s="1"/>
  <c r="F40" i="26"/>
  <c r="AI8" i="26" s="1"/>
  <c r="C22" i="26"/>
  <c r="C41" i="26"/>
  <c r="H41" i="26"/>
  <c r="H47" i="26" s="1"/>
  <c r="W46" i="26"/>
  <c r="AO10" i="26" s="1"/>
  <c r="AB14" i="26"/>
  <c r="R10" i="26"/>
  <c r="R32" i="26"/>
  <c r="R35" i="26" s="1"/>
  <c r="AQ13" i="26"/>
  <c r="AH5" i="26"/>
  <c r="R46" i="26"/>
  <c r="K41" i="26"/>
  <c r="N41" i="26"/>
  <c r="N47" i="26" s="1"/>
  <c r="W14" i="26"/>
  <c r="M47" i="26"/>
  <c r="K14" i="26"/>
  <c r="K22" i="26" s="1"/>
  <c r="K47" i="26" s="1"/>
  <c r="E33" i="1"/>
  <c r="F12" i="19"/>
  <c r="J12" i="19"/>
  <c r="E10" i="32" s="1"/>
  <c r="C34" i="36"/>
  <c r="L36" i="19"/>
  <c r="P10" i="32" s="1"/>
  <c r="H36" i="19"/>
  <c r="N10" i="32" s="1"/>
  <c r="D36" i="19"/>
  <c r="D12" i="19"/>
  <c r="C39" i="36"/>
  <c r="D4" i="1"/>
  <c r="H35" i="17"/>
  <c r="N9" i="32" s="1"/>
  <c r="F11" i="25"/>
  <c r="J9" i="25"/>
  <c r="J10" i="25"/>
  <c r="F11" i="1"/>
  <c r="D12" i="17"/>
  <c r="B9" i="32" s="1"/>
  <c r="B11" i="32"/>
  <c r="C33" i="36"/>
  <c r="C38" i="36"/>
  <c r="E11" i="32"/>
  <c r="C11" i="32"/>
  <c r="C37" i="36"/>
  <c r="H18" i="32"/>
  <c r="F16" i="39"/>
  <c r="J14" i="25"/>
  <c r="I20" i="25"/>
  <c r="J20" i="25" s="1"/>
  <c r="D13" i="1"/>
  <c r="D37" i="30"/>
  <c r="E16" i="37"/>
  <c r="C15" i="36"/>
  <c r="I18" i="32"/>
  <c r="J20" i="32"/>
  <c r="H20" i="32"/>
  <c r="F20" i="32"/>
  <c r="F2" i="1"/>
  <c r="D7" i="1"/>
  <c r="L11" i="13"/>
  <c r="F7" i="32" s="1"/>
  <c r="F11" i="32"/>
  <c r="D11" i="13"/>
  <c r="B7" i="32" s="1"/>
  <c r="D6" i="1"/>
  <c r="F6" i="1"/>
  <c r="E12" i="1"/>
  <c r="F12" i="1" s="1"/>
  <c r="C20" i="1"/>
  <c r="C4" i="36"/>
  <c r="D11" i="1"/>
  <c r="F7" i="42"/>
  <c r="C17" i="41"/>
  <c r="D17" i="41" s="1"/>
  <c r="D33" i="41" s="1"/>
  <c r="P11" i="32"/>
  <c r="N11" i="32"/>
  <c r="L11" i="32"/>
  <c r="O11" i="32"/>
  <c r="M11" i="32"/>
  <c r="I30" i="30"/>
  <c r="E30" i="30"/>
  <c r="I41" i="30"/>
  <c r="I16" i="30"/>
  <c r="H13" i="36"/>
  <c r="D22" i="36"/>
  <c r="H22" i="36" s="1"/>
  <c r="E28" i="9"/>
  <c r="G27" i="9"/>
  <c r="F27" i="9" s="1"/>
  <c r="H20" i="9"/>
  <c r="F20" i="9"/>
  <c r="AH9" i="26"/>
  <c r="AH13" i="26" s="1"/>
  <c r="J16" i="39"/>
  <c r="K10" i="39"/>
  <c r="M22" i="36"/>
  <c r="O14" i="36"/>
  <c r="D49" i="36"/>
  <c r="D50" i="36" s="1"/>
  <c r="M43" i="36"/>
  <c r="T22" i="36"/>
  <c r="V22" i="36" s="1"/>
  <c r="V21" i="36"/>
  <c r="K50" i="36"/>
  <c r="M50" i="36" s="1"/>
  <c r="AL5" i="26"/>
  <c r="J38" i="36"/>
  <c r="L11" i="36"/>
  <c r="E11" i="36"/>
  <c r="E9" i="36"/>
  <c r="L9" i="36"/>
  <c r="W35" i="26"/>
  <c r="E16" i="30"/>
  <c r="R29" i="26"/>
  <c r="F11" i="42"/>
  <c r="E14" i="42"/>
  <c r="F14" i="42" s="1"/>
  <c r="J39" i="36"/>
  <c r="L12" i="36"/>
  <c r="S47" i="26"/>
  <c r="D44" i="27" s="1"/>
  <c r="K22" i="36"/>
  <c r="F9" i="9"/>
  <c r="G22" i="26"/>
  <c r="F22" i="26"/>
  <c r="G41" i="26"/>
  <c r="Q41" i="26" s="1"/>
  <c r="Q47" i="26" s="1"/>
  <c r="I16" i="37"/>
  <c r="J24" i="37"/>
  <c r="K24" i="37" s="1"/>
  <c r="N16" i="31"/>
  <c r="O16" i="31" s="1"/>
  <c r="I14" i="31"/>
  <c r="M41" i="36"/>
  <c r="C14" i="38"/>
  <c r="D8" i="46"/>
  <c r="C15" i="42"/>
  <c r="D15" i="42" s="1"/>
  <c r="E16" i="41"/>
  <c r="D11" i="42"/>
  <c r="G18" i="37"/>
  <c r="J31" i="13"/>
  <c r="O7" i="32" s="1"/>
  <c r="C10" i="36"/>
  <c r="L10" i="32" l="1"/>
  <c r="B8" i="45"/>
  <c r="G19" i="32"/>
  <c r="E9" i="45"/>
  <c r="H47" i="47"/>
  <c r="E8" i="47"/>
  <c r="V5" i="52"/>
  <c r="J5" i="52"/>
  <c r="G5" i="52"/>
  <c r="M5" i="52"/>
  <c r="S5" i="52"/>
  <c r="C19" i="49"/>
  <c r="J16" i="49"/>
  <c r="N16" i="49"/>
  <c r="H52" i="47"/>
  <c r="D39" i="47"/>
  <c r="D31" i="47"/>
  <c r="P11" i="52"/>
  <c r="V11" i="52"/>
  <c r="J11" i="52"/>
  <c r="M11" i="52"/>
  <c r="S11" i="52"/>
  <c r="G11" i="52"/>
  <c r="N13" i="49"/>
  <c r="C15" i="49"/>
  <c r="H49" i="47"/>
  <c r="E10" i="47"/>
  <c r="V6" i="52"/>
  <c r="J6" i="52"/>
  <c r="G6" i="52"/>
  <c r="M6" i="52"/>
  <c r="S6" i="52"/>
  <c r="H55" i="47"/>
  <c r="D40" i="47"/>
  <c r="N19" i="49"/>
  <c r="L19" i="49"/>
  <c r="K14" i="32"/>
  <c r="J11" i="49"/>
  <c r="F53" i="30"/>
  <c r="H53" i="30" s="1"/>
  <c r="F8" i="49"/>
  <c r="F16" i="49"/>
  <c r="L8" i="49"/>
  <c r="P24" i="32"/>
  <c r="L16" i="49"/>
  <c r="F13" i="49"/>
  <c r="J10" i="49"/>
  <c r="J9" i="49"/>
  <c r="L17" i="49"/>
  <c r="L13" i="49"/>
  <c r="B10" i="32"/>
  <c r="B7" i="45"/>
  <c r="C10" i="32"/>
  <c r="E7" i="45"/>
  <c r="K26" i="32"/>
  <c r="L26" i="32"/>
  <c r="P13" i="52"/>
  <c r="V13" i="52"/>
  <c r="S13" i="52"/>
  <c r="C16" i="52"/>
  <c r="M13" i="52"/>
  <c r="G13" i="52"/>
  <c r="J13" i="52"/>
  <c r="P10" i="52"/>
  <c r="V10" i="52"/>
  <c r="J10" i="52"/>
  <c r="S10" i="52"/>
  <c r="C12" i="52"/>
  <c r="M10" i="52"/>
  <c r="G10" i="52"/>
  <c r="V7" i="52"/>
  <c r="J7" i="52"/>
  <c r="M7" i="52"/>
  <c r="S7" i="52"/>
  <c r="G7" i="52"/>
  <c r="J18" i="49"/>
  <c r="N18" i="49"/>
  <c r="P15" i="52"/>
  <c r="V15" i="52"/>
  <c r="J15" i="52"/>
  <c r="S15" i="52"/>
  <c r="M15" i="52"/>
  <c r="G15" i="52"/>
  <c r="P14" i="52"/>
  <c r="V14" i="52"/>
  <c r="M14" i="52"/>
  <c r="G14" i="52"/>
  <c r="J14" i="52"/>
  <c r="S14" i="52"/>
  <c r="F15" i="49"/>
  <c r="N15" i="49"/>
  <c r="G47" i="47"/>
  <c r="I47" i="47" s="1"/>
  <c r="J8" i="49"/>
  <c r="F14" i="49"/>
  <c r="G49" i="47"/>
  <c r="I49" i="47" s="1"/>
  <c r="E42" i="47"/>
  <c r="F17" i="49"/>
  <c r="H14" i="49"/>
  <c r="L10" i="49"/>
  <c r="L9" i="49"/>
  <c r="H8" i="49"/>
  <c r="J17" i="49"/>
  <c r="G8" i="32"/>
  <c r="H16" i="49"/>
  <c r="G19" i="49"/>
  <c r="H19" i="49" s="1"/>
  <c r="G15" i="49"/>
  <c r="H13" i="49"/>
  <c r="K15" i="49"/>
  <c r="J14" i="49"/>
  <c r="I15" i="49"/>
  <c r="B12" i="47"/>
  <c r="L11" i="49"/>
  <c r="C35" i="36"/>
  <c r="H11" i="49"/>
  <c r="N11" i="49"/>
  <c r="C12" i="49"/>
  <c r="F11" i="49"/>
  <c r="C9" i="52"/>
  <c r="C19" i="52" s="1"/>
  <c r="M8" i="52"/>
  <c r="S8" i="52"/>
  <c r="V8" i="52"/>
  <c r="J8" i="52"/>
  <c r="G8" i="52"/>
  <c r="K12" i="49"/>
  <c r="L12" i="49" s="1"/>
  <c r="C20" i="47"/>
  <c r="F50" i="47"/>
  <c r="B21" i="47"/>
  <c r="B38" i="47" s="1"/>
  <c r="C38" i="47" s="1"/>
  <c r="E38" i="47" s="1"/>
  <c r="F57" i="47"/>
  <c r="E20" i="47"/>
  <c r="H50" i="47"/>
  <c r="D21" i="47"/>
  <c r="S17" i="52"/>
  <c r="V17" i="52"/>
  <c r="C18" i="52"/>
  <c r="P18" i="52" s="1"/>
  <c r="J17" i="52"/>
  <c r="M17" i="52"/>
  <c r="G17" i="52"/>
  <c r="G18" i="52"/>
  <c r="J18" i="52"/>
  <c r="L20" i="49"/>
  <c r="N20" i="49"/>
  <c r="H20" i="49"/>
  <c r="J20" i="49"/>
  <c r="R67" i="26"/>
  <c r="R68" i="26" s="1"/>
  <c r="AL9" i="26"/>
  <c r="J67" i="26"/>
  <c r="D10" i="27"/>
  <c r="M20" i="32"/>
  <c r="M19" i="32"/>
  <c r="M18" i="32"/>
  <c r="G9" i="32"/>
  <c r="Q9" i="32"/>
  <c r="B10" i="39"/>
  <c r="D10" i="39" s="1"/>
  <c r="C16" i="39"/>
  <c r="F15" i="1"/>
  <c r="H48" i="47"/>
  <c r="E9" i="47"/>
  <c r="D12" i="47"/>
  <c r="Q8" i="32"/>
  <c r="L32" i="32"/>
  <c r="P27" i="32"/>
  <c r="D32" i="27" s="1"/>
  <c r="D12" i="27"/>
  <c r="E30" i="47"/>
  <c r="I55" i="47" s="1"/>
  <c r="M21" i="49"/>
  <c r="F8" i="8"/>
  <c r="I53" i="30"/>
  <c r="J8" i="8"/>
  <c r="K14" i="39"/>
  <c r="D15" i="25"/>
  <c r="E12" i="46" s="1"/>
  <c r="F13" i="1"/>
  <c r="E20" i="25"/>
  <c r="F20" i="25" s="1"/>
  <c r="D16" i="27"/>
  <c r="K16" i="39"/>
  <c r="D8" i="39"/>
  <c r="D17" i="28"/>
  <c r="D12" i="1"/>
  <c r="E35" i="1" s="1"/>
  <c r="D36" i="27" s="1"/>
  <c r="L5" i="36"/>
  <c r="J32" i="36"/>
  <c r="AL13" i="26"/>
  <c r="J33" i="36"/>
  <c r="L6" i="36"/>
  <c r="E26" i="47"/>
  <c r="I51" i="47" s="1"/>
  <c r="G51" i="47"/>
  <c r="C39" i="47"/>
  <c r="E39" i="47" s="1"/>
  <c r="O68" i="26"/>
  <c r="G53" i="47"/>
  <c r="E28" i="47"/>
  <c r="I53" i="47" s="1"/>
  <c r="G52" i="47"/>
  <c r="E27" i="47"/>
  <c r="I52" i="47" s="1"/>
  <c r="G54" i="47"/>
  <c r="E29" i="47"/>
  <c r="I54" i="47" s="1"/>
  <c r="J34" i="36"/>
  <c r="E7" i="36"/>
  <c r="C40" i="47"/>
  <c r="E40" i="47" s="1"/>
  <c r="E53" i="30"/>
  <c r="E21" i="49"/>
  <c r="K21" i="49"/>
  <c r="L15" i="49"/>
  <c r="T67" i="26"/>
  <c r="I61" i="26"/>
  <c r="U47" i="26"/>
  <c r="W47" i="26" s="1"/>
  <c r="AO13" i="26" s="1"/>
  <c r="I65" i="26"/>
  <c r="C47" i="26"/>
  <c r="G7" i="32"/>
  <c r="G20" i="25"/>
  <c r="AB41" i="26"/>
  <c r="Q10" i="32"/>
  <c r="G10" i="32"/>
  <c r="Q7" i="32"/>
  <c r="B31" i="47"/>
  <c r="C31" i="47" s="1"/>
  <c r="E31" i="47" s="1"/>
  <c r="D19" i="27"/>
  <c r="E42" i="1"/>
  <c r="L21" i="36"/>
  <c r="E21" i="36"/>
  <c r="H11" i="39"/>
  <c r="D11" i="39"/>
  <c r="B14" i="39"/>
  <c r="E18" i="36"/>
  <c r="S18" i="36"/>
  <c r="C44" i="36"/>
  <c r="L18" i="36"/>
  <c r="D25" i="27"/>
  <c r="D22" i="28"/>
  <c r="E19" i="1"/>
  <c r="E20" i="1" s="1"/>
  <c r="F20" i="1" s="1"/>
  <c r="F16" i="1"/>
  <c r="H10" i="39"/>
  <c r="H8" i="39"/>
  <c r="F14" i="25"/>
  <c r="D16" i="28"/>
  <c r="D9" i="27"/>
  <c r="D24" i="37"/>
  <c r="D13" i="27"/>
  <c r="I8" i="8"/>
  <c r="D11" i="27"/>
  <c r="G8" i="8"/>
  <c r="D14" i="27"/>
  <c r="K8" i="8"/>
  <c r="R14" i="26"/>
  <c r="R22" i="26" s="1"/>
  <c r="AB47" i="26"/>
  <c r="AR13" i="26" s="1"/>
  <c r="R41" i="26"/>
  <c r="P47" i="26"/>
  <c r="F41" i="26"/>
  <c r="F47" i="26" s="1"/>
  <c r="AI6" i="26"/>
  <c r="AI9" i="26" s="1"/>
  <c r="AI13" i="26" s="1"/>
  <c r="B47" i="26"/>
  <c r="D42" i="27" s="1"/>
  <c r="W22" i="26"/>
  <c r="AO5" i="26" s="1"/>
  <c r="D11" i="32"/>
  <c r="G11" i="32" s="1"/>
  <c r="L20" i="25"/>
  <c r="C40" i="36"/>
  <c r="E15" i="36"/>
  <c r="L15" i="36"/>
  <c r="C17" i="36"/>
  <c r="C41" i="36"/>
  <c r="D12" i="25"/>
  <c r="E9" i="46" s="1"/>
  <c r="E37" i="1"/>
  <c r="J31" i="36"/>
  <c r="L4" i="36"/>
  <c r="C8" i="36"/>
  <c r="E4" i="36"/>
  <c r="Q11" i="32"/>
  <c r="E17" i="41"/>
  <c r="F17" i="41" s="1"/>
  <c r="G33" i="41" s="1"/>
  <c r="F16" i="41"/>
  <c r="G32" i="41" s="1"/>
  <c r="H8" i="46"/>
  <c r="D16" i="46"/>
  <c r="H16" i="46" s="1"/>
  <c r="AO7" i="26"/>
  <c r="AO9" i="26" s="1"/>
  <c r="W41" i="26"/>
  <c r="E15" i="42"/>
  <c r="F15" i="42" s="1"/>
  <c r="M49" i="36"/>
  <c r="L10" i="36"/>
  <c r="J37" i="36"/>
  <c r="E10" i="36"/>
  <c r="G28" i="9"/>
  <c r="H28" i="9" s="1"/>
  <c r="H27" i="9"/>
  <c r="D14" i="25"/>
  <c r="E11" i="46" s="1"/>
  <c r="E39" i="1"/>
  <c r="G47" i="26"/>
  <c r="D43" i="27" s="1"/>
  <c r="C13" i="36"/>
  <c r="O22" i="36"/>
  <c r="P26" i="32" l="1"/>
  <c r="P12" i="52"/>
  <c r="K21" i="52"/>
  <c r="T21" i="52"/>
  <c r="Q21" i="52"/>
  <c r="S12" i="52"/>
  <c r="N21" i="52"/>
  <c r="E21" i="52"/>
  <c r="V12" i="52"/>
  <c r="M12" i="52"/>
  <c r="G12" i="52"/>
  <c r="H21" i="52"/>
  <c r="J12" i="52"/>
  <c r="P16" i="52"/>
  <c r="G16" i="52"/>
  <c r="M16" i="52"/>
  <c r="S16" i="52"/>
  <c r="J16" i="52"/>
  <c r="V16" i="52"/>
  <c r="J19" i="49"/>
  <c r="F19" i="49"/>
  <c r="N23" i="52"/>
  <c r="P19" i="52"/>
  <c r="N22" i="52"/>
  <c r="T22" i="52"/>
  <c r="H22" i="52"/>
  <c r="K22" i="52"/>
  <c r="Q22" i="52"/>
  <c r="E22" i="52"/>
  <c r="H15" i="49"/>
  <c r="J15" i="49"/>
  <c r="I21" i="49"/>
  <c r="D9" i="28"/>
  <c r="F21" i="49"/>
  <c r="V9" i="52"/>
  <c r="S9" i="52"/>
  <c r="J9" i="52"/>
  <c r="G9" i="52"/>
  <c r="M9" i="52"/>
  <c r="F12" i="49"/>
  <c r="N12" i="49"/>
  <c r="C21" i="49"/>
  <c r="N21" i="49" s="1"/>
  <c r="C21" i="47"/>
  <c r="E21" i="47" s="1"/>
  <c r="Q23" i="52"/>
  <c r="H23" i="52"/>
  <c r="T23" i="52"/>
  <c r="K23" i="52"/>
  <c r="E23" i="52"/>
  <c r="G50" i="47"/>
  <c r="I50" i="47" s="1"/>
  <c r="V18" i="52"/>
  <c r="S18" i="52"/>
  <c r="M18" i="52"/>
  <c r="S19" i="52"/>
  <c r="M19" i="52"/>
  <c r="V19" i="52"/>
  <c r="G19" i="52"/>
  <c r="J19" i="52"/>
  <c r="H20" i="25"/>
  <c r="C12" i="47"/>
  <c r="E12" i="47" s="1"/>
  <c r="D38" i="47"/>
  <c r="D41" i="47" s="1"/>
  <c r="G48" i="47"/>
  <c r="I48" i="47" s="1"/>
  <c r="H57" i="47"/>
  <c r="G57" i="47" s="1"/>
  <c r="I57" i="47" s="1"/>
  <c r="B41" i="47"/>
  <c r="C41" i="47" s="1"/>
  <c r="E41" i="47" s="1"/>
  <c r="I67" i="26"/>
  <c r="F28" i="9"/>
  <c r="D20" i="1"/>
  <c r="D20" i="25" s="1"/>
  <c r="E16" i="46" s="1"/>
  <c r="R47" i="26"/>
  <c r="D14" i="39"/>
  <c r="D46" i="27" s="1"/>
  <c r="H14" i="39"/>
  <c r="B16" i="39"/>
  <c r="J44" i="36"/>
  <c r="C47" i="36"/>
  <c r="J47" i="36" s="1"/>
  <c r="D19" i="1"/>
  <c r="F19" i="1"/>
  <c r="E17" i="36"/>
  <c r="L17" i="36"/>
  <c r="C43" i="36"/>
  <c r="J41" i="36"/>
  <c r="L8" i="36"/>
  <c r="E8" i="36"/>
  <c r="J35" i="36"/>
  <c r="E46" i="1"/>
  <c r="E13" i="36"/>
  <c r="L13" i="36"/>
  <c r="C14" i="36"/>
  <c r="J40" i="36"/>
  <c r="D37" i="27"/>
  <c r="D10" i="28"/>
  <c r="H21" i="49" l="1"/>
  <c r="J21" i="49"/>
  <c r="L21" i="49"/>
  <c r="K67" i="26"/>
  <c r="I68" i="26"/>
  <c r="D45" i="27"/>
  <c r="H16" i="39"/>
  <c r="D16" i="39"/>
  <c r="D18" i="25"/>
  <c r="E15" i="46" s="1"/>
  <c r="E44" i="1"/>
  <c r="J43" i="36"/>
  <c r="C49" i="36"/>
  <c r="C22" i="36"/>
  <c r="E14" i="36"/>
  <c r="L14" i="36"/>
  <c r="D12" i="28"/>
  <c r="D39" i="27"/>
  <c r="D11" i="28" l="1"/>
  <c r="D38" i="27"/>
  <c r="J49" i="36"/>
  <c r="C50" i="36"/>
  <c r="S22" i="36"/>
  <c r="J50" i="36"/>
  <c r="E22" i="36"/>
  <c r="L22" i="36"/>
</calcChain>
</file>

<file path=xl/sharedStrings.xml><?xml version="1.0" encoding="utf-8"?>
<sst xmlns="http://schemas.openxmlformats.org/spreadsheetml/2006/main" count="2593" uniqueCount="647">
  <si>
    <t>TOTAL</t>
  </si>
  <si>
    <t>5ºAno</t>
  </si>
  <si>
    <t>6ºAno</t>
  </si>
  <si>
    <t>7ºAno</t>
  </si>
  <si>
    <t>8ºAno</t>
  </si>
  <si>
    <t>9ºAno</t>
  </si>
  <si>
    <t>3º Ciclo</t>
  </si>
  <si>
    <t>Total</t>
  </si>
  <si>
    <t>5º5</t>
  </si>
  <si>
    <t>5º4</t>
  </si>
  <si>
    <t>5º3</t>
  </si>
  <si>
    <t>5º2</t>
  </si>
  <si>
    <t>5º1</t>
  </si>
  <si>
    <t>NºAlunos</t>
  </si>
  <si>
    <t>Mat.</t>
  </si>
  <si>
    <t xml:space="preserve">                                                                                              </t>
  </si>
  <si>
    <t>classif.</t>
  </si>
  <si>
    <t>% de</t>
  </si>
  <si>
    <t>Nº de</t>
  </si>
  <si>
    <t>alunos</t>
  </si>
  <si>
    <t>E.M.R.C.</t>
  </si>
  <si>
    <t>F.C.</t>
  </si>
  <si>
    <t>F.</t>
  </si>
  <si>
    <t xml:space="preserve"> Matem.</t>
  </si>
  <si>
    <t>Inglês</t>
  </si>
  <si>
    <t>Port.</t>
  </si>
  <si>
    <t>Turmas</t>
  </si>
  <si>
    <t>6º7</t>
  </si>
  <si>
    <t>6º6</t>
  </si>
  <si>
    <t>6º5</t>
  </si>
  <si>
    <t>6º4</t>
  </si>
  <si>
    <t>6º3</t>
  </si>
  <si>
    <t>6º2</t>
  </si>
  <si>
    <t>6º1</t>
  </si>
  <si>
    <t xml:space="preserve"> </t>
  </si>
  <si>
    <t>7º6</t>
  </si>
  <si>
    <t>7º5</t>
  </si>
  <si>
    <t>7º4</t>
  </si>
  <si>
    <t>7º3</t>
  </si>
  <si>
    <t>7º2</t>
  </si>
  <si>
    <t>7º1</t>
  </si>
  <si>
    <t>F.Q.</t>
  </si>
  <si>
    <t>Geog.</t>
  </si>
  <si>
    <t>Hist.</t>
  </si>
  <si>
    <t>L.E. 1</t>
  </si>
  <si>
    <t>8º1</t>
  </si>
  <si>
    <t>8º2</t>
  </si>
  <si>
    <t>8º3</t>
  </si>
  <si>
    <t>8º4</t>
  </si>
  <si>
    <t>8º5</t>
  </si>
  <si>
    <t>I.T.I.C.</t>
  </si>
  <si>
    <t>9º1</t>
  </si>
  <si>
    <t>9º2</t>
  </si>
  <si>
    <t>9º3</t>
  </si>
  <si>
    <t>9º4</t>
  </si>
  <si>
    <t>T.I.C.</t>
  </si>
  <si>
    <t>C.M.A.</t>
  </si>
  <si>
    <t>H.S.S.T</t>
  </si>
  <si>
    <t>M.A.</t>
  </si>
  <si>
    <t>CN</t>
  </si>
  <si>
    <t>ACC</t>
  </si>
  <si>
    <t>TCFC</t>
  </si>
  <si>
    <t>OSEPPP</t>
  </si>
  <si>
    <t>EPPP</t>
  </si>
  <si>
    <t>CECS</t>
  </si>
  <si>
    <t>CEF1Cab</t>
  </si>
  <si>
    <t>Transf</t>
  </si>
  <si>
    <t>Anul. de matr.</t>
  </si>
  <si>
    <t>CEF1 Cab</t>
  </si>
  <si>
    <t>CEF2 Cab</t>
  </si>
  <si>
    <t>2010-11</t>
  </si>
  <si>
    <t>2009-10</t>
  </si>
  <si>
    <t>% DE PLANOS DE RECUPERAÇÃO</t>
  </si>
  <si>
    <t>F.Q</t>
  </si>
  <si>
    <t>E.F.</t>
  </si>
  <si>
    <t>H.S.S.T.</t>
  </si>
  <si>
    <t>L.E.1</t>
  </si>
  <si>
    <t>L.Port.</t>
  </si>
  <si>
    <t>E.V.</t>
  </si>
  <si>
    <t>C.N.</t>
  </si>
  <si>
    <t>E.M.</t>
  </si>
  <si>
    <t>E.V.T.</t>
  </si>
  <si>
    <t>H.G.P.</t>
  </si>
  <si>
    <t>NºPAIS/EE</t>
  </si>
  <si>
    <t>TURMA</t>
  </si>
  <si>
    <t>Presentes</t>
  </si>
  <si>
    <t>Ausentes</t>
  </si>
  <si>
    <t>REUNIÕES COM PAIS / ENCARREGADOS DE EDUCAÇÃO</t>
  </si>
  <si>
    <t>5º Ano</t>
  </si>
  <si>
    <t>6º Ano</t>
  </si>
  <si>
    <t>7º Ano</t>
  </si>
  <si>
    <t>8º Ano</t>
  </si>
  <si>
    <t>9º Ano</t>
  </si>
  <si>
    <t>CEF's</t>
  </si>
  <si>
    <t>Português</t>
  </si>
  <si>
    <t>Matemática</t>
  </si>
  <si>
    <t>Estudo Meio</t>
  </si>
  <si>
    <t>A</t>
  </si>
  <si>
    <t>B</t>
  </si>
  <si>
    <t>C</t>
  </si>
  <si>
    <t>A1</t>
  </si>
  <si>
    <t>3ºB</t>
  </si>
  <si>
    <t>Percentagem</t>
  </si>
  <si>
    <t>Sala</t>
  </si>
  <si>
    <t>Idades</t>
  </si>
  <si>
    <t>Área de Formação Pessoal e Social</t>
  </si>
  <si>
    <t>Total de Alunos</t>
  </si>
  <si>
    <t>Área do Conhecimento do Mundo</t>
  </si>
  <si>
    <t>Área da Comunicação e das Expressões</t>
  </si>
  <si>
    <t>Adquirido</t>
  </si>
  <si>
    <t>Emergente</t>
  </si>
  <si>
    <t>Não Adquirido</t>
  </si>
  <si>
    <t>% N. Adq.</t>
  </si>
  <si>
    <t>TOTAL DAS SALAS</t>
  </si>
  <si>
    <t>2º ANO</t>
  </si>
  <si>
    <t>3º ANO</t>
  </si>
  <si>
    <t>1º ANO</t>
  </si>
  <si>
    <t>4º ANO</t>
  </si>
  <si>
    <t>ARTUR MARTINHO SIMÕES</t>
  </si>
  <si>
    <t>RICARDO ALBERTY</t>
  </si>
  <si>
    <t>C. N.</t>
  </si>
  <si>
    <t>E. M.</t>
  </si>
  <si>
    <t>E. F.</t>
  </si>
  <si>
    <t>H. G. P.</t>
  </si>
  <si>
    <t>ESCOLA BÁSICA DOS 2º E 3º CICLOS</t>
  </si>
  <si>
    <t>5º ANO</t>
  </si>
  <si>
    <t>L. Port.</t>
  </si>
  <si>
    <t>6º ANO</t>
  </si>
  <si>
    <t>Turma</t>
  </si>
  <si>
    <t>E. V.</t>
  </si>
  <si>
    <t>7º ANO</t>
  </si>
  <si>
    <t>8º ANO</t>
  </si>
  <si>
    <t>9º ANO</t>
  </si>
  <si>
    <t>1ºAno</t>
  </si>
  <si>
    <t>2ºAno</t>
  </si>
  <si>
    <t>3ºAno</t>
  </si>
  <si>
    <t>4ºAno</t>
  </si>
  <si>
    <t>E. B. 2, 3 MIGUEL TORGA</t>
  </si>
  <si>
    <t>% Presentes</t>
  </si>
  <si>
    <t>% Ausentes</t>
  </si>
  <si>
    <t>1º Período</t>
  </si>
  <si>
    <t>2º Período</t>
  </si>
  <si>
    <t>3º Período</t>
  </si>
  <si>
    <t>SETEMBRO</t>
  </si>
  <si>
    <t>CEF1 PP</t>
  </si>
  <si>
    <t>2011-12</t>
  </si>
  <si>
    <t>Ano Lectivo 2011/12</t>
  </si>
  <si>
    <t>%</t>
  </si>
  <si>
    <t xml:space="preserve">         Ano Lectivo 2011/12</t>
  </si>
  <si>
    <t>Média</t>
  </si>
  <si>
    <t>FQ</t>
  </si>
  <si>
    <t>PLANOS DE RECUPERAÇÃO</t>
  </si>
  <si>
    <t>1º CICLO</t>
  </si>
  <si>
    <t>1ºCICLO</t>
  </si>
  <si>
    <t>2º CICLO</t>
  </si>
  <si>
    <t xml:space="preserve"> 2º Ciclo</t>
  </si>
  <si>
    <t>3ª CICLO</t>
  </si>
  <si>
    <t>3º CICLO</t>
  </si>
  <si>
    <t xml:space="preserve"> PLANOS DE ACOMPANHAMENTO </t>
  </si>
  <si>
    <t>RISCO DE ABANDONO</t>
  </si>
  <si>
    <t>EXCESSO DE  FALTAS</t>
  </si>
  <si>
    <t>Nº de ordens de saída</t>
  </si>
  <si>
    <t>Nº de MDS                                             Rep Reg+Susp+Transf</t>
  </si>
  <si>
    <t>Ano / Turma</t>
  </si>
  <si>
    <t>Total de alunos c/ ordens saída</t>
  </si>
  <si>
    <t>1ºP</t>
  </si>
  <si>
    <t>2ºP</t>
  </si>
  <si>
    <t>3ºP</t>
  </si>
  <si>
    <t>Total de ordens saída</t>
  </si>
  <si>
    <t>Total de alunos c/act integração</t>
  </si>
  <si>
    <t>Total de activid integração</t>
  </si>
  <si>
    <t>Total de alunos c/con espaços</t>
  </si>
  <si>
    <t>Total de condic espaços</t>
  </si>
  <si>
    <t>Total de alunos c/ MDS</t>
  </si>
  <si>
    <t>Total de MDS</t>
  </si>
  <si>
    <t>total 5º</t>
  </si>
  <si>
    <t xml:space="preserve"> 6º6</t>
  </si>
  <si>
    <t>Total 6º</t>
  </si>
  <si>
    <t>Total 2º ciclo</t>
  </si>
  <si>
    <t>Total 7º</t>
  </si>
  <si>
    <t>Total 8º</t>
  </si>
  <si>
    <t>Total 9º</t>
  </si>
  <si>
    <r>
      <t>CEF 1 -</t>
    </r>
    <r>
      <rPr>
        <b/>
        <i/>
        <sz val="8"/>
        <rFont val="Calibri"/>
        <family val="2"/>
      </rPr>
      <t xml:space="preserve"> CAB</t>
    </r>
  </si>
  <si>
    <r>
      <t xml:space="preserve">CEF 2 – </t>
    </r>
    <r>
      <rPr>
        <b/>
        <i/>
        <sz val="8"/>
        <rFont val="Calibri"/>
        <family val="2"/>
      </rPr>
      <t>CAB</t>
    </r>
  </si>
  <si>
    <r>
      <t xml:space="preserve">CEF1 </t>
    </r>
    <r>
      <rPr>
        <b/>
        <i/>
        <sz val="8"/>
        <rFont val="Calibri"/>
        <family val="2"/>
      </rPr>
      <t>– Past.</t>
    </r>
  </si>
  <si>
    <t>Total CEF</t>
  </si>
  <si>
    <t>Total 3º ciclo</t>
  </si>
  <si>
    <t>META 2011/12</t>
  </si>
  <si>
    <t>L. Portuguesa</t>
  </si>
  <si>
    <t>HGP</t>
  </si>
  <si>
    <t>EM</t>
  </si>
  <si>
    <t>EVT</t>
  </si>
  <si>
    <t>EF</t>
  </si>
  <si>
    <t>Francês</t>
  </si>
  <si>
    <t>Espanhol</t>
  </si>
  <si>
    <t>História</t>
  </si>
  <si>
    <t>Geografia</t>
  </si>
  <si>
    <t>EV</t>
  </si>
  <si>
    <t>ET</t>
  </si>
  <si>
    <t>ITIC</t>
  </si>
  <si>
    <t>1º Ciclo</t>
  </si>
  <si>
    <t>2º Ciclo</t>
  </si>
  <si>
    <t>Média 2010/11</t>
  </si>
  <si>
    <t>Excesso de faltas</t>
  </si>
  <si>
    <t>Faltas de material</t>
  </si>
  <si>
    <t>L.Portuguesa</t>
  </si>
  <si>
    <t>DISCIPLINAS 2º CICLO</t>
  </si>
  <si>
    <t>DISCIPLINAS 3º CICLO</t>
  </si>
  <si>
    <t>Tx Sucesso 2010/11</t>
  </si>
  <si>
    <t>PCA</t>
  </si>
  <si>
    <t>CEF e PCA</t>
  </si>
  <si>
    <t>CEF</t>
  </si>
  <si>
    <t>CICLO DE ESCOLARIDADE</t>
  </si>
  <si>
    <t>Tx Transição 2010/11</t>
  </si>
  <si>
    <t>Tx Conclusão 2010/11</t>
  </si>
  <si>
    <t>MONITORIZAÇÃO DAS METAS DO PROJECTO TEIP                                   2011-2012</t>
  </si>
  <si>
    <t>MONITORIZAÇÃO DAS METAS DO PAA                                                           2011-2012</t>
  </si>
  <si>
    <t>REQUISIÇÃO DOMICILIÁRIA</t>
  </si>
  <si>
    <t>8.15 - 12.30</t>
  </si>
  <si>
    <t>12.30 - 14.15</t>
  </si>
  <si>
    <t>14.15 - 16.45</t>
  </si>
  <si>
    <t>INFORMÁTICA</t>
  </si>
  <si>
    <t>Jogar</t>
  </si>
  <si>
    <t>Pesquisar</t>
  </si>
  <si>
    <t>TOTAL Liv Req</t>
  </si>
  <si>
    <t>Média requisiç/aluno</t>
  </si>
  <si>
    <t>Nº alun/escola</t>
  </si>
  <si>
    <t>Assessorias a Matemática</t>
  </si>
  <si>
    <t>Nº alunos</t>
  </si>
  <si>
    <t>Com assessoria</t>
  </si>
  <si>
    <t>Com assessoria e aproveitamento</t>
  </si>
  <si>
    <t>5º 4</t>
  </si>
  <si>
    <t>7º 2</t>
  </si>
  <si>
    <t>7º 6</t>
  </si>
  <si>
    <t>Escola B. 2, 3 Miguel Torga</t>
  </si>
  <si>
    <t>Ano</t>
  </si>
  <si>
    <t>Orquestra Geração</t>
  </si>
  <si>
    <t>Fundação Benfica</t>
  </si>
  <si>
    <t>Percussão</t>
  </si>
  <si>
    <t>Judo</t>
  </si>
  <si>
    <t>Madeiras</t>
  </si>
  <si>
    <t>Teatro</t>
  </si>
  <si>
    <t>% Alunos insc. com sucesso escolar</t>
  </si>
  <si>
    <t>5º</t>
  </si>
  <si>
    <t>6º</t>
  </si>
  <si>
    <t>TOTAL  2º CICLO</t>
  </si>
  <si>
    <t>7º</t>
  </si>
  <si>
    <t>8º</t>
  </si>
  <si>
    <t>9º</t>
  </si>
  <si>
    <t>TOTAL  3º CICLO</t>
  </si>
  <si>
    <t>TOTAL  MIGUEL TORGA</t>
  </si>
  <si>
    <t>CEF TC</t>
  </si>
  <si>
    <t>Est. Meio</t>
  </si>
  <si>
    <t>Total de Med Correctivas</t>
  </si>
  <si>
    <t>ENTRADAS DE ALUNOS</t>
  </si>
  <si>
    <t>LE2(F)</t>
  </si>
  <si>
    <t>LE2(E)</t>
  </si>
  <si>
    <t>L.E.2 (F)</t>
  </si>
  <si>
    <t>L.E.2 (E)</t>
  </si>
  <si>
    <t>Turmas/Substit</t>
  </si>
  <si>
    <t>Turmas/Reserva</t>
  </si>
  <si>
    <t>TOTAIS</t>
  </si>
  <si>
    <t>Total de alunos c/ med correctivas</t>
  </si>
  <si>
    <t>Pintura</t>
  </si>
  <si>
    <t>Educação Musical</t>
  </si>
  <si>
    <t>E. B. 2.3 Miguel Torga</t>
  </si>
  <si>
    <t>E. B.1 Ricardo Alberty</t>
  </si>
  <si>
    <t>E. B.1 Artur Martinho Simões</t>
  </si>
  <si>
    <t>Livros requisitados</t>
  </si>
  <si>
    <r>
      <t xml:space="preserve">LEITOR  </t>
    </r>
    <r>
      <rPr>
        <sz val="20"/>
        <rFont val="Aharoni"/>
        <charset val="177"/>
      </rPr>
      <t>+</t>
    </r>
  </si>
  <si>
    <t>Nº total alunos/ escola</t>
  </si>
  <si>
    <t xml:space="preserve">Requisições </t>
  </si>
  <si>
    <t>Entradas de alunos      (em turma)</t>
  </si>
  <si>
    <t>EB1 Ricardo Alberty</t>
  </si>
  <si>
    <t>EB 2.3 Miguel Torga</t>
  </si>
  <si>
    <t>EB 2.3 Artur Martinho Simões</t>
  </si>
  <si>
    <t>Coro</t>
  </si>
  <si>
    <t>Futsal</t>
  </si>
  <si>
    <t>Radio</t>
  </si>
  <si>
    <t>rap</t>
  </si>
  <si>
    <t>brake dance</t>
  </si>
  <si>
    <t xml:space="preserve"> Alunos inscritos</t>
  </si>
  <si>
    <t>Mat</t>
  </si>
  <si>
    <t>SUCESSO</t>
  </si>
  <si>
    <t>SUCESSO    Disciplinas - 3º ciclo</t>
  </si>
  <si>
    <t>SUCESSO    Disciplinas - 2º ciclo</t>
  </si>
  <si>
    <t>INDISCIPLINA          2º+3º CICLOS</t>
  </si>
  <si>
    <t>Ordens de saída</t>
  </si>
  <si>
    <t>Actividades integração</t>
  </si>
  <si>
    <t>Suspensões</t>
  </si>
  <si>
    <t>INDICE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</si>
  <si>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</si>
  <si>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</si>
  <si>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</si>
  <si>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</si>
  <si>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</si>
  <si>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</si>
  <si>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</si>
  <si>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</si>
  <si>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</si>
  <si>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</si>
  <si>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</si>
  <si>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</si>
  <si>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XIII</t>
  </si>
  <si>
    <t>XV</t>
  </si>
  <si>
    <t>XVI</t>
  </si>
  <si>
    <t>Tabela:</t>
  </si>
  <si>
    <t>Pág.</t>
  </si>
  <si>
    <t>………………………………..</t>
  </si>
  <si>
    <t>………………………………………………………</t>
  </si>
  <si>
    <t>…………………………………..</t>
  </si>
  <si>
    <t>2ºAno-AMSimões …………………………………………………………</t>
  </si>
  <si>
    <t>4ºAno-AMSimões…………………………………………………………………</t>
  </si>
  <si>
    <t>CEF- Mtorga …………………………………………………………………………</t>
  </si>
  <si>
    <t>9ºAno- Mtorga ………………………………………………………………………</t>
  </si>
  <si>
    <t>8ºAno- Mtorga ………………………………………………………………………</t>
  </si>
  <si>
    <t>7ºAno- Mtorga ………………………………………………………………………</t>
  </si>
  <si>
    <t>5ºAno- Mtorga ……………………………………………………………………..</t>
  </si>
  <si>
    <t>6ºAno- Mtorga ……………………………………………………………………..</t>
  </si>
  <si>
    <t>EE Global ………………………………………………………………………………</t>
  </si>
  <si>
    <t>EE - 2ºCiclo ……………………………………………………………………………</t>
  </si>
  <si>
    <t>EE - 3ºCiclo ……………………………………………………………………………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</si>
  <si>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</si>
  <si>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pos</t>
  </si>
  <si>
    <t>suc.</t>
  </si>
  <si>
    <t>Nº Alunos</t>
  </si>
  <si>
    <t>1º P + 2º P + 3º P</t>
  </si>
  <si>
    <t xml:space="preserve">% </t>
  </si>
  <si>
    <t>% Transição</t>
  </si>
  <si>
    <t>Nº alunos com P. A. que transitaram</t>
  </si>
  <si>
    <t>Nº alunos com P. R. que transitaram</t>
  </si>
  <si>
    <t>% DE NÍVEIS POSITIVOS POR DISCIPLINA - 3º Ciclo</t>
  </si>
  <si>
    <t>% DE NÍVEIS POSITIVOS POR DISCIPLINA - Cef's</t>
  </si>
  <si>
    <t>% DE NÍVEIS POSITIVOS POR DISCIPLINA - 2ºCiclo</t>
  </si>
  <si>
    <t>Transição</t>
  </si>
  <si>
    <t>Retenção</t>
  </si>
  <si>
    <t>2009/2010</t>
  </si>
  <si>
    <t>2010/2011</t>
  </si>
  <si>
    <t>2011/2012</t>
  </si>
  <si>
    <t>Agrupamento de Escolas Miguel Torga</t>
  </si>
  <si>
    <t>ANO LECTIVO</t>
  </si>
  <si>
    <t>2º</t>
  </si>
  <si>
    <t>3º</t>
  </si>
  <si>
    <t>4º</t>
  </si>
  <si>
    <t>TOTAL 1º CICLO</t>
  </si>
  <si>
    <t>MÉDIA NACIONAL 1º CICLO</t>
  </si>
  <si>
    <t>---</t>
  </si>
  <si>
    <t>TOTAL 2º CICLO</t>
  </si>
  <si>
    <t>MÉDIA NACIONAL 2º CICLO</t>
  </si>
  <si>
    <t>TOTAL 3º CICLO</t>
  </si>
  <si>
    <t>MÉDIA NACIONAL 3º CICLO</t>
  </si>
  <si>
    <t>TOTAL AGRUPAMENTO</t>
  </si>
  <si>
    <t>1º Ano</t>
  </si>
  <si>
    <t>2º Ano</t>
  </si>
  <si>
    <t>3º Ano</t>
  </si>
  <si>
    <t>4º Ano</t>
  </si>
  <si>
    <t>6º 3</t>
  </si>
  <si>
    <t>ESCOLA</t>
  </si>
  <si>
    <t>ANO</t>
  </si>
  <si>
    <t>TOTAL DE ALUNOS</t>
  </si>
  <si>
    <t>Nº DE ALUNOS COM PLNM POR NÍVEL DE PROFICIÊNCIA</t>
  </si>
  <si>
    <t>% DE ALUNOS COM PLNM</t>
  </si>
  <si>
    <t>A2</t>
  </si>
  <si>
    <t>B1</t>
  </si>
  <si>
    <t>B2</t>
  </si>
  <si>
    <t>C1</t>
  </si>
  <si>
    <t xml:space="preserve">1º Ano </t>
  </si>
  <si>
    <t>TOTAL DO AGRUPAMENTO</t>
  </si>
  <si>
    <t>Nº de alunos com PLNM</t>
  </si>
  <si>
    <t>Nº de alunos que transitaram de nível de proficiência</t>
  </si>
  <si>
    <t>% de alunos que transitaram de nível de proficiência</t>
  </si>
  <si>
    <t>Nº de alunos com Apoio</t>
  </si>
  <si>
    <t>Apoio Pedagógico a Inglês</t>
  </si>
  <si>
    <t>Apoio Pedagógico a Matemática</t>
  </si>
  <si>
    <t>Nº de alunos com AEC</t>
  </si>
  <si>
    <t>Variação da frequência nas AEC</t>
  </si>
  <si>
    <t>% de alunos</t>
  </si>
  <si>
    <t>Frequentaram AEC</t>
  </si>
  <si>
    <t>Nº de alunos em AEC com Excesso de faltas</t>
  </si>
  <si>
    <t xml:space="preserve">% de alunos que frequentaram AEC com excesso de faltas </t>
  </si>
  <si>
    <t>voleibol F.</t>
  </si>
  <si>
    <t>ABRIL</t>
  </si>
  <si>
    <t>MAIO</t>
  </si>
  <si>
    <t>JUNH</t>
  </si>
  <si>
    <r>
      <t xml:space="preserve">3ºP                 </t>
    </r>
    <r>
      <rPr>
        <b/>
        <sz val="10"/>
        <rFont val="Trebuchet MS"/>
        <family val="2"/>
      </rPr>
      <t>2011-12</t>
    </r>
  </si>
  <si>
    <r>
      <t xml:space="preserve">3ºP </t>
    </r>
    <r>
      <rPr>
        <b/>
        <sz val="10"/>
        <rFont val="Trebuchet MS"/>
        <family val="2"/>
      </rPr>
      <t>2010-11</t>
    </r>
  </si>
  <si>
    <r>
      <t xml:space="preserve">3ºP                 </t>
    </r>
    <r>
      <rPr>
        <b/>
        <sz val="10"/>
        <rFont val="Trebuchet MS"/>
        <family val="2"/>
      </rPr>
      <t>2010/11</t>
    </r>
  </si>
  <si>
    <t>Nº de alunos em AEC com Medidas Disciplinares Sancionatórias</t>
  </si>
  <si>
    <t>% de alunos em AEC com Medidas Disciplinares Sancionatórias</t>
  </si>
  <si>
    <t xml:space="preserve">              </t>
  </si>
  <si>
    <t xml:space="preserve">           3º PERÍODO </t>
  </si>
  <si>
    <t>3º PERÍODO</t>
  </si>
  <si>
    <t>Nº de EE que contactaram a Escola/DT</t>
  </si>
  <si>
    <t>JARDIM DE INFÂNCIA</t>
  </si>
  <si>
    <t>SALA 1</t>
  </si>
  <si>
    <t>SALA 2</t>
  </si>
  <si>
    <t>SALA 3</t>
  </si>
  <si>
    <t>SALA 4</t>
  </si>
  <si>
    <t>SALA 5</t>
  </si>
  <si>
    <t>JI</t>
  </si>
  <si>
    <t>TOTAL 1º CICLO (sem o 1º ano)</t>
  </si>
  <si>
    <t>Nº TOTAL DE DISCIPLINAS</t>
  </si>
  <si>
    <t>Nº DE DISCIPLINAS QUE CONCLUIRAM OS CONTEÚDOS PROGRAMADOS</t>
  </si>
  <si>
    <t>TOTAL/MÉDIA</t>
  </si>
  <si>
    <t>TOTAL/MÉDIA ESCOLA</t>
  </si>
  <si>
    <t>Nº de alunos com excesso de faltas que transitaram</t>
  </si>
  <si>
    <t xml:space="preserve">BIBLIOTECA ESCOLAR                                                                        2011-2012 - 3ºP               </t>
  </si>
  <si>
    <t>Ocorrências sem medidas</t>
  </si>
  <si>
    <t>Total de OSM</t>
  </si>
  <si>
    <t>Total de alunos c/ OSM</t>
  </si>
  <si>
    <t>http://www.gepe.min-edu.pt/np4/?newsId=565&amp;fileName=EEF2011.pdf</t>
  </si>
  <si>
    <t>Alunos com ASE</t>
  </si>
  <si>
    <t>Total de Alunos  com ASE</t>
  </si>
  <si>
    <t>% de alunos  com ASE</t>
  </si>
  <si>
    <t>Nº de alunos com ASE que Transitaram</t>
  </si>
  <si>
    <t>% de alunos  com ASE que Transitaram</t>
  </si>
  <si>
    <t>1º</t>
  </si>
  <si>
    <t>2009/10</t>
  </si>
  <si>
    <t>2010/11</t>
  </si>
  <si>
    <t>TOTAL MIGUEL TORGA</t>
  </si>
  <si>
    <t>a) Não foi feito o estudo deste apoio no ano lectivo 2007/2008</t>
  </si>
  <si>
    <t>2011/12</t>
  </si>
  <si>
    <t>Alunos com ASE - Comparativo 2009/2010 a 2011/2012</t>
  </si>
  <si>
    <t>Total alunos classificados</t>
  </si>
  <si>
    <t>AGRUPAMENTO DE ESCOLAS MIGUEL TORGA</t>
  </si>
  <si>
    <t>E. B. 2,3 Miguel Torga</t>
  </si>
  <si>
    <t>% de Alunos em Q. de Excelência</t>
  </si>
  <si>
    <t>Nº de Alunos em Q. de Valor</t>
  </si>
  <si>
    <t>Escola:</t>
  </si>
  <si>
    <t>Escola Básica 1º Ciclo Martinho Simões</t>
  </si>
  <si>
    <t>Resultados das provas de aferição do 4º ano</t>
  </si>
  <si>
    <t>Nível</t>
  </si>
  <si>
    <t>Língua Portuguesa</t>
  </si>
  <si>
    <t>N.º</t>
  </si>
  <si>
    <t>Faltas</t>
  </si>
  <si>
    <t>Escola Básica 1º Ciclo Ricardo Alberty</t>
  </si>
  <si>
    <t>Escola Básica 2, 3 Miguel Torga</t>
  </si>
  <si>
    <t>Resultados dos exames nacionais do 9º ano</t>
  </si>
  <si>
    <t>Comparação dos resultados dos Exames Nacionais, por nível, entre 2009/10 e 2011/12  - 9º ANO</t>
  </si>
  <si>
    <t>Agrupamento Miguel Torga</t>
  </si>
  <si>
    <t>Disciplina</t>
  </si>
  <si>
    <t>Escola/Ano</t>
  </si>
  <si>
    <t>EB1 MS 4º ano</t>
  </si>
  <si>
    <t>EB1 RA 4º ano</t>
  </si>
  <si>
    <t>EB2,3 MT 6º ano</t>
  </si>
  <si>
    <t>EB2,3 MT 9º ano</t>
  </si>
  <si>
    <t>Percentagem de níveis positivos</t>
  </si>
  <si>
    <r>
      <rPr>
        <sz val="12"/>
        <rFont val="Trebuchet MS"/>
        <family val="2"/>
      </rPr>
      <t>Percentagem de níveis positivos em</t>
    </r>
    <r>
      <rPr>
        <b/>
        <sz val="12"/>
        <rFont val="Trebuchet MS"/>
        <family val="2"/>
      </rPr>
      <t xml:space="preserve"> Língua Portuguesa</t>
    </r>
  </si>
  <si>
    <r>
      <rPr>
        <sz val="12"/>
        <rFont val="Trebuchet MS"/>
        <family val="2"/>
      </rPr>
      <t>Percentagem de níveis positivos em</t>
    </r>
    <r>
      <rPr>
        <b/>
        <sz val="12"/>
        <rFont val="Trebuchet MS"/>
        <family val="2"/>
      </rPr>
      <t xml:space="preserve"> Matemática</t>
    </r>
  </si>
  <si>
    <t>Resultados dos Exames Nacionais, por nível, em 2011/12  - 6º ANO</t>
  </si>
  <si>
    <t>Resultados dos exames nacionais do 6º ano</t>
  </si>
  <si>
    <t>Nº de alunos que transitaram sem negativas</t>
  </si>
  <si>
    <t>Nº de alunos que transitaram</t>
  </si>
  <si>
    <t>Nacional</t>
  </si>
  <si>
    <t>10*</t>
  </si>
  <si>
    <t>* Inclui a disciplina Jardinagem</t>
  </si>
  <si>
    <t>Nº de alunos com mais de três faltas de material a pelo menos uma disciplina</t>
  </si>
  <si>
    <t>Medidas Disciplinares Sancionatórias</t>
  </si>
  <si>
    <t>Total de alunos</t>
  </si>
  <si>
    <t>Sucesso dos Alunos inscritos em Núcleos/Projetos</t>
  </si>
  <si>
    <t>C. Interna*</t>
  </si>
  <si>
    <t>* Classificação obtida no final do 3º Período antes do exame</t>
  </si>
  <si>
    <t>METAS 2012/2015</t>
  </si>
  <si>
    <t>Ano / Ciclo</t>
  </si>
  <si>
    <t>Atividades de Integração</t>
  </si>
  <si>
    <t>Nº de alunos em AEC no 3º Período e que transitaram</t>
  </si>
  <si>
    <t xml:space="preserve">% de alunos que frequentaram AEC no 3º Período e que transitaram </t>
  </si>
  <si>
    <t>Alunos com apoio e nível positivo a Matemática</t>
  </si>
  <si>
    <t>% de Alunos com apoio e nível positivo a Matemática</t>
  </si>
  <si>
    <t>Alunos com apoio e nível positivo a Inglês</t>
  </si>
  <si>
    <t>% de Alunos com apoio e nível positivo a Inglês</t>
  </si>
  <si>
    <t>META 2012/2015</t>
  </si>
  <si>
    <t>C. Externa**</t>
  </si>
  <si>
    <t>** Classificação obtida no exame</t>
  </si>
  <si>
    <t>Total de OS</t>
  </si>
  <si>
    <t>Total de AI</t>
  </si>
  <si>
    <t>META 2012/15</t>
  </si>
  <si>
    <t>3ºP 2011/2012</t>
  </si>
  <si>
    <t>Metas 2012/2015</t>
  </si>
  <si>
    <t>% de Pais Presentes por período</t>
  </si>
  <si>
    <t>Alunos em Quadro de Excelência</t>
  </si>
  <si>
    <t>Meta 2012/2015     C. Externa</t>
  </si>
  <si>
    <t>TOTAL  1º CICLO</t>
  </si>
  <si>
    <t>TOTAL A. M. SIMÕES</t>
  </si>
  <si>
    <t>TOTAL R. ALBERTY</t>
  </si>
  <si>
    <t>Comparação das Taxas de Transição por ano e ciclo entre 2009/2010 e 2011/2012 e nacionais</t>
  </si>
  <si>
    <t>% de alunos com Apoio</t>
  </si>
  <si>
    <t>Ocorrências sem Medida</t>
  </si>
  <si>
    <t>TIC</t>
  </si>
  <si>
    <t>E. B. 2.3 MIGUEL TORGA</t>
  </si>
  <si>
    <t>E.B.1 RICARDO ALBERTY</t>
  </si>
  <si>
    <t>E.B.1 ARTUR MARTINHO SIMÕES</t>
  </si>
  <si>
    <t>E.B. 2.3 MIGUEL TORGA</t>
  </si>
  <si>
    <t>L.E.1 / Ing</t>
  </si>
  <si>
    <t>L.E.2 / Fran</t>
  </si>
  <si>
    <t>L.E.2 / Esp</t>
  </si>
  <si>
    <t>L.E.3 / Esp</t>
  </si>
  <si>
    <t>E.B.2.3 MIGUEL TORGA</t>
  </si>
  <si>
    <t>CEF1 IRC</t>
  </si>
  <si>
    <t>Excluído por faltas</t>
  </si>
  <si>
    <t xml:space="preserve">     </t>
  </si>
  <si>
    <t xml:space="preserve">    </t>
  </si>
  <si>
    <t>5º6</t>
  </si>
  <si>
    <t>5º7</t>
  </si>
  <si>
    <t>% de disciplinas com igual ou mais de 50% negativas</t>
  </si>
  <si>
    <t>Disciplinas com igual ou mais de  50% negativas</t>
  </si>
  <si>
    <t>2012-13</t>
  </si>
  <si>
    <t>Avaliação Indisciplina 2012/13</t>
  </si>
  <si>
    <t>Atividades de integração</t>
  </si>
  <si>
    <t>Condicionamento de espaços</t>
  </si>
  <si>
    <t>TOTAL                    DE                     ALUNOS</t>
  </si>
  <si>
    <t>Odens de saída</t>
  </si>
  <si>
    <t>Nº de alunos com OS</t>
  </si>
  <si>
    <t>Nº de alunos com AI</t>
  </si>
  <si>
    <t>Nº de alunos com MDS</t>
  </si>
  <si>
    <t>Nº de OSM</t>
  </si>
  <si>
    <t>Nº MDS</t>
  </si>
  <si>
    <t>Nº de alunos com OSM</t>
  </si>
  <si>
    <t>Nº OS</t>
  </si>
  <si>
    <t>Nº AI</t>
  </si>
  <si>
    <t>Indisciplina  ……………………………………………………………</t>
  </si>
  <si>
    <t>EE JI + 1º ciclo………………………………………………………………………………….</t>
  </si>
  <si>
    <t>% Insucesso</t>
  </si>
  <si>
    <t>Insucesso</t>
  </si>
  <si>
    <t>% Sucesso</t>
  </si>
  <si>
    <t>Sucesso</t>
  </si>
  <si>
    <r>
      <rPr>
        <b/>
        <sz val="12"/>
        <rFont val="Trebuchet MS"/>
        <family val="2"/>
      </rPr>
      <t xml:space="preserve">3. </t>
    </r>
    <r>
      <rPr>
        <b/>
        <u/>
        <sz val="12"/>
        <rFont val="Trebuchet MS"/>
        <family val="2"/>
      </rPr>
      <t>RESULTADOS POR ANO DE ESCOLARIDADE</t>
    </r>
  </si>
  <si>
    <t>2ºCiclo</t>
  </si>
  <si>
    <t>1ºCiclo</t>
  </si>
  <si>
    <t>AGRUPAMENTO</t>
  </si>
  <si>
    <r>
      <rPr>
        <b/>
        <sz val="12"/>
        <rFont val="Trebuchet MS"/>
        <family val="2"/>
      </rPr>
      <t xml:space="preserve">2. </t>
    </r>
    <r>
      <rPr>
        <b/>
        <u/>
        <sz val="12"/>
        <rFont val="Trebuchet MS"/>
        <family val="2"/>
      </rPr>
      <t>RESULTADOS POR CICLO</t>
    </r>
  </si>
  <si>
    <r>
      <rPr>
        <b/>
        <sz val="12"/>
        <rFont val="Trebuchet MS"/>
        <family val="2"/>
      </rPr>
      <t xml:space="preserve">1. </t>
    </r>
    <r>
      <rPr>
        <b/>
        <u/>
        <sz val="12"/>
        <rFont val="Trebuchet MS"/>
        <family val="2"/>
      </rPr>
      <t>RESULTADOS POR ESCOLA</t>
    </r>
  </si>
  <si>
    <t>Exp. Artísticas</t>
  </si>
  <si>
    <t>Exp. Fís.-Mot.</t>
  </si>
  <si>
    <t>Exp. Artís.</t>
  </si>
  <si>
    <t>Exp. Fís-Mot</t>
  </si>
  <si>
    <t>Apoio Pedagógico a Português</t>
  </si>
  <si>
    <t>Alunos com apoio e nível positivo a P.</t>
  </si>
  <si>
    <t>% de Alunos com apoio e nível positivo a P.</t>
  </si>
  <si>
    <t>Total 1º ciclo</t>
  </si>
  <si>
    <t>Alunos inscritos</t>
  </si>
  <si>
    <t>A.E.C.'s - Indisciplina,Excesso de Faltas</t>
  </si>
  <si>
    <t>ASSESSORIAS</t>
  </si>
  <si>
    <t>REUNIÕES COM ENCARREGADOS DE EDUCAÇÂO</t>
  </si>
  <si>
    <t>E. T.</t>
  </si>
  <si>
    <t xml:space="preserve"> EXCESSO de FALTAS </t>
  </si>
  <si>
    <t>Nº de Alunos</t>
  </si>
  <si>
    <t xml:space="preserve"> P.A.P.'s</t>
  </si>
  <si>
    <t>SEM NÍVEIS NEGATIVOS</t>
  </si>
  <si>
    <t xml:space="preserve"> RISCO de ABANDONO</t>
  </si>
  <si>
    <t>CEF2 PP</t>
  </si>
  <si>
    <t>ICEI</t>
  </si>
  <si>
    <t>DRAEI</t>
  </si>
  <si>
    <t>PEMEI</t>
  </si>
  <si>
    <t>PD</t>
  </si>
  <si>
    <t>Nº de alunos repetentes</t>
  </si>
  <si>
    <t>Nº de alunos em risco de retenção repetida</t>
  </si>
  <si>
    <t>L.E.1(I)</t>
  </si>
  <si>
    <r>
      <t xml:space="preserve">   CEF 1 – </t>
    </r>
    <r>
      <rPr>
        <b/>
        <i/>
        <sz val="8"/>
        <rFont val="Calibri"/>
        <family val="2"/>
      </rPr>
      <t>IRC</t>
    </r>
  </si>
  <si>
    <t>Assessorias a  Português</t>
  </si>
  <si>
    <t>5º 6</t>
  </si>
  <si>
    <t>6º 6</t>
  </si>
  <si>
    <t>6º 1</t>
  </si>
  <si>
    <t>8º 5</t>
  </si>
  <si>
    <t>9º 2</t>
  </si>
  <si>
    <t>% de alun com OS</t>
  </si>
  <si>
    <t>% de alun com AI</t>
  </si>
  <si>
    <t>% de alun com MDS</t>
  </si>
  <si>
    <t>% de alun com OSM</t>
  </si>
  <si>
    <t>Média por aluno (2º e 3º ciclos)</t>
  </si>
  <si>
    <t>PAP's</t>
  </si>
  <si>
    <t>BOM COMPORTAMENTO</t>
  </si>
  <si>
    <t>SEM NEGATIVAS</t>
  </si>
  <si>
    <t>EXCESSO DE FALTAS</t>
  </si>
  <si>
    <t xml:space="preserve">Nº de alunos </t>
  </si>
  <si>
    <t>PAP's, Excesso de Faltas, Risco de Abandono, sem Negativas, Bom Comportamento</t>
  </si>
  <si>
    <t>RESULTADOS ESCOLARES DOS ALUNOS POR DISCIPLINA- SUCESSO</t>
  </si>
  <si>
    <t xml:space="preserve">SUCESSO </t>
  </si>
  <si>
    <t>Sucesso:Ano/Disciplina...………………………………………………………………..</t>
  </si>
  <si>
    <t>PAPs/Exc. Faltas/ Risco Aband/ Sem Negativas/Bom Comport………………………………………………………..</t>
  </si>
  <si>
    <t>Assessorias …………………….……………………………..</t>
  </si>
  <si>
    <r>
      <rPr>
        <b/>
        <sz val="16"/>
        <rFont val="Arial"/>
        <family val="2"/>
      </rPr>
      <t>*</t>
    </r>
    <r>
      <rPr>
        <sz val="10"/>
        <rFont val="Arial"/>
        <family val="2"/>
      </rPr>
      <t xml:space="preserve"> Apesar de não haver retenção no 1ºano, como sucesso foram considerados os alunos sem negativa</t>
    </r>
  </si>
  <si>
    <t xml:space="preserve">    a Português e Matemática, em simultâneo.</t>
  </si>
  <si>
    <r>
      <t xml:space="preserve">SUCESSO </t>
    </r>
    <r>
      <rPr>
        <b/>
        <sz val="18"/>
        <rFont val="Arial"/>
        <family val="2"/>
      </rPr>
      <t>*</t>
    </r>
  </si>
  <si>
    <r>
      <t>SUCESSO</t>
    </r>
    <r>
      <rPr>
        <b/>
        <sz val="18"/>
        <rFont val="Arial"/>
        <family val="2"/>
      </rPr>
      <t xml:space="preserve"> *</t>
    </r>
  </si>
  <si>
    <t>INDISCIPLINA</t>
  </si>
  <si>
    <t>Total/Agrup</t>
  </si>
  <si>
    <t>Sucesso:  Ano/Escola……………………..…………………...</t>
  </si>
  <si>
    <t>JI……………………………………...</t>
  </si>
  <si>
    <t>1ºAno-AMSimões……………………………………………………………………………..</t>
  </si>
  <si>
    <t>3ºAno-AMSimões ………………………………………………………………...……………………..</t>
  </si>
  <si>
    <t>7º 3</t>
  </si>
  <si>
    <t>8º 1</t>
  </si>
  <si>
    <t>8º 3</t>
  </si>
  <si>
    <t>8º 4</t>
  </si>
  <si>
    <t>INSUCESSO</t>
  </si>
  <si>
    <t>TOTAL   DE  ALUNOS</t>
  </si>
  <si>
    <t>CEFs</t>
  </si>
  <si>
    <t>1ºB</t>
  </si>
  <si>
    <t>2ºB</t>
  </si>
  <si>
    <t>2ºC</t>
  </si>
  <si>
    <t>4ºB</t>
  </si>
  <si>
    <t>1ºA</t>
  </si>
  <si>
    <t>2ºA</t>
  </si>
  <si>
    <t>3ºA</t>
  </si>
  <si>
    <t>XIV</t>
  </si>
  <si>
    <t>Média por aluno                                                                                                                      (com medidas)</t>
  </si>
  <si>
    <t>Condicionamento de Espaços</t>
  </si>
  <si>
    <t>PLNM</t>
  </si>
  <si>
    <t>TOTAL 5º</t>
  </si>
  <si>
    <t>TOTAL 6º</t>
  </si>
  <si>
    <t>TOTAL 7º</t>
  </si>
  <si>
    <t>TOTAL 8º</t>
  </si>
  <si>
    <t>TOTAL 9º</t>
  </si>
  <si>
    <t>sem niveis negativos</t>
  </si>
  <si>
    <t>\</t>
  </si>
  <si>
    <t>TOTAL DE ALUNOS 2º CICLO</t>
  </si>
  <si>
    <t>TOTAL DE ALUNOS 3º CICLO</t>
  </si>
  <si>
    <t>TOTAL DE ALUNOS 1º, 2º e 3º</t>
  </si>
  <si>
    <t>Nº de alunos com Cond. E.</t>
  </si>
  <si>
    <t>% de alun com   Cond. E.</t>
  </si>
  <si>
    <t>Nº DE Cond. E.</t>
  </si>
  <si>
    <t>Nº de alunos com MC</t>
  </si>
  <si>
    <t>Nº MC</t>
  </si>
  <si>
    <t>% de alun com MC</t>
  </si>
  <si>
    <t>Total MT</t>
  </si>
  <si>
    <t>Média por aluno                                                                                                                      (2º e 3º ciclos)</t>
  </si>
  <si>
    <t>Média por aluno           (Miguel Torga)</t>
  </si>
  <si>
    <t>Média por aluno                         (Agrupamento)</t>
  </si>
  <si>
    <t>3ºC</t>
  </si>
  <si>
    <t>ADMITIDOS A EXAME</t>
  </si>
  <si>
    <t>AVALIAÇÃO INTERNA</t>
  </si>
  <si>
    <t>AVALIAÇÃO FINAL</t>
  </si>
  <si>
    <t xml:space="preserve">RETIDOS por                    EXCESSO de FALTAS </t>
  </si>
  <si>
    <t>INSUCESSO*</t>
  </si>
  <si>
    <t>* Admissão à 2ª fase</t>
  </si>
  <si>
    <t xml:space="preserve"> RETIDO/EXCLUÍDO por EXCESSO de FALTAS </t>
  </si>
  <si>
    <t xml:space="preserve"> Medidas Corretivas</t>
  </si>
  <si>
    <t>2012/13</t>
  </si>
  <si>
    <t>Comparação dos resultados das Provas de Aferição, por nível, entre 2009/10 e 2012/13  - 4º ANO</t>
  </si>
  <si>
    <t>OCORRÊNCIAS sem MEDIDAS</t>
  </si>
  <si>
    <t>Nº DE Oc. Sem Med.</t>
  </si>
  <si>
    <t>Nº de alunos com Oc. Sem Med.</t>
  </si>
  <si>
    <t>% de alun com Oc. Sem Med.</t>
  </si>
  <si>
    <t>Total alunos agrupamento-1134</t>
  </si>
  <si>
    <t>2012/2013</t>
  </si>
  <si>
    <t>u7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</si>
</sst>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0.0"/>
    <numFmt numFmtId="165" formatCode="0.0%"/>
  </numFmts>
  <fonts count="163">
    <font>
      <sz val="10"/>
      <name val="Arial"/>
    </font>
    <font>
      <sz val="10"/>
      <name val="Arial"/>
      <family val="2"/>
    </font>
    <font>
      <sz val="10"/>
      <color indexed="9"/>
      <name val="Arial"/>
      <family val="2"/>
    </font>
    <font>
      <sz val="9"/>
      <name val="Palatino Linotype"/>
      <family val="1"/>
    </font>
    <font>
      <sz val="10"/>
      <name val="Agency FB"/>
      <family val="2"/>
    </font>
    <font>
      <sz val="8"/>
      <name val="Palatino Linotype"/>
      <family val="1"/>
    </font>
    <font>
      <sz val="8"/>
      <name val="Arial"/>
      <family val="2"/>
    </font>
    <font>
      <sz val="7"/>
      <name val="Palatino Linotype"/>
      <family val="1"/>
    </font>
    <font>
      <sz val="6"/>
      <name val="Palatino Linotype"/>
      <family val="1"/>
    </font>
    <font>
      <b/>
      <sz val="14"/>
      <name val="Agency FB"/>
      <family val="2"/>
    </font>
    <font>
      <sz val="10"/>
      <color indexed="9"/>
      <name val="Arial"/>
      <family val="2"/>
    </font>
    <font>
      <sz val="10"/>
      <color indexed="10"/>
      <name val="Agency FB"/>
      <family val="2"/>
    </font>
    <font>
      <sz val="10"/>
      <color indexed="10"/>
      <name val="Arial"/>
      <family val="2"/>
    </font>
    <font>
      <sz val="10"/>
      <name val="Tms Rmn"/>
    </font>
    <font>
      <sz val="8"/>
      <name val="Geneva"/>
      <family val="2"/>
    </font>
    <font>
      <sz val="10"/>
      <name val="Palatino Linotype"/>
      <family val="1"/>
    </font>
    <font>
      <sz val="16"/>
      <name val="Tms Rmn"/>
    </font>
    <font>
      <sz val="6"/>
      <name val="Geneva"/>
      <family val="2"/>
    </font>
    <font>
      <sz val="5"/>
      <name val="Palatino Linotype"/>
      <family val="1"/>
    </font>
    <font>
      <b/>
      <sz val="6"/>
      <name val="Geneva"/>
      <family val="2"/>
    </font>
    <font>
      <sz val="9"/>
      <name val="Geneva"/>
      <family val="2"/>
    </font>
    <font>
      <sz val="10"/>
      <color indexed="60"/>
      <name val="Arial"/>
      <family val="2"/>
    </font>
    <font>
      <sz val="10"/>
      <color indexed="9"/>
      <name val="Agency FB"/>
      <family val="2"/>
    </font>
    <font>
      <sz val="10"/>
      <color indexed="8"/>
      <name val="Arial"/>
      <family val="2"/>
    </font>
    <font>
      <sz val="9"/>
      <name val="Trebuchet MS"/>
      <family val="2"/>
    </font>
    <font>
      <sz val="10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b/>
      <sz val="10"/>
      <name val="Trebuchet MS"/>
      <family val="2"/>
    </font>
    <font>
      <b/>
      <sz val="9"/>
      <name val="Trebuchet MS"/>
      <family val="2"/>
    </font>
    <font>
      <b/>
      <sz val="11"/>
      <color indexed="16"/>
      <name val="Trebuchet MS"/>
      <family val="2"/>
    </font>
    <font>
      <b/>
      <sz val="11"/>
      <name val="Trebuchet MS"/>
      <family val="2"/>
    </font>
    <font>
      <b/>
      <sz val="11"/>
      <color indexed="60"/>
      <name val="Trebuchet MS"/>
      <family val="2"/>
    </font>
    <font>
      <b/>
      <sz val="12"/>
      <name val="Trebuchet MS"/>
      <family val="2"/>
    </font>
    <font>
      <b/>
      <sz val="14"/>
      <name val="Trebuchet MS"/>
      <family val="2"/>
    </font>
    <font>
      <b/>
      <sz val="16"/>
      <name val="Trebuchet MS"/>
      <family val="2"/>
    </font>
    <font>
      <b/>
      <sz val="16"/>
      <color indexed="23"/>
      <name val="Trebuchet MS"/>
      <family val="2"/>
    </font>
    <font>
      <b/>
      <sz val="14"/>
      <color indexed="23"/>
      <name val="Trebuchet MS"/>
      <family val="2"/>
    </font>
    <font>
      <b/>
      <sz val="8"/>
      <color indexed="8"/>
      <name val="Palatino Linotype"/>
      <family val="1"/>
    </font>
    <font>
      <b/>
      <sz val="12"/>
      <color indexed="9"/>
      <name val="Trebuchet MS"/>
      <family val="2"/>
    </font>
    <font>
      <sz val="14"/>
      <name val="Trebuchet MS"/>
      <family val="2"/>
    </font>
    <font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6"/>
      <name val="Algerian"/>
      <family val="5"/>
    </font>
    <font>
      <sz val="16"/>
      <name val="Algerian"/>
      <family val="5"/>
    </font>
    <font>
      <b/>
      <sz val="10"/>
      <name val="Arial"/>
      <family val="2"/>
    </font>
    <font>
      <b/>
      <sz val="9"/>
      <name val="Arial"/>
      <family val="2"/>
    </font>
    <font>
      <b/>
      <sz val="10"/>
      <name val="Calibri"/>
      <family val="2"/>
    </font>
    <font>
      <sz val="9"/>
      <name val="Arial"/>
      <family val="2"/>
    </font>
    <font>
      <b/>
      <sz val="8"/>
      <name val="Calibri"/>
      <family val="2"/>
    </font>
    <font>
      <b/>
      <i/>
      <sz val="8"/>
      <name val="Calibri"/>
      <family val="2"/>
    </font>
    <font>
      <b/>
      <i/>
      <sz val="10"/>
      <name val="Trebuchet MS"/>
      <family val="2"/>
    </font>
    <font>
      <b/>
      <i/>
      <sz val="12"/>
      <name val="Trebuchet MS"/>
      <family val="2"/>
    </font>
    <font>
      <i/>
      <sz val="12"/>
      <name val="Trebuchet MS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color indexed="8"/>
      <name val="Trebuchet MS"/>
      <family val="2"/>
    </font>
    <font>
      <b/>
      <sz val="12"/>
      <color indexed="23"/>
      <name val="Trebuchet MS"/>
      <family val="2"/>
    </font>
    <font>
      <sz val="12"/>
      <name val="Trebuchet MS"/>
      <family val="2"/>
    </font>
    <font>
      <b/>
      <sz val="14"/>
      <color indexed="16"/>
      <name val="Trebuchet MS"/>
      <family val="2"/>
    </font>
    <font>
      <b/>
      <sz val="20"/>
      <color indexed="23"/>
      <name val="Trebuchet MS"/>
      <family val="2"/>
    </font>
    <font>
      <b/>
      <sz val="18"/>
      <color indexed="23"/>
      <name val="Trebuchet MS"/>
      <family val="2"/>
    </font>
    <font>
      <b/>
      <sz val="16"/>
      <color indexed="23"/>
      <name val="Trebuchet MS"/>
      <family val="2"/>
    </font>
    <font>
      <b/>
      <sz val="12"/>
      <color indexed="16"/>
      <name val="Trebuchet MS"/>
      <family val="2"/>
    </font>
    <font>
      <sz val="12"/>
      <name val="Palatino Linotype"/>
      <family val="1"/>
    </font>
    <font>
      <sz val="12"/>
      <name val="Arial"/>
      <family val="2"/>
    </font>
    <font>
      <sz val="10"/>
      <name val="Arial"/>
      <family val="2"/>
    </font>
    <font>
      <b/>
      <sz val="10"/>
      <color indexed="10"/>
      <name val="Trebuchet MS"/>
      <family val="2"/>
    </font>
    <font>
      <sz val="14"/>
      <name val="Aharoni"/>
      <charset val="177"/>
    </font>
    <font>
      <sz val="20"/>
      <name val="Aharoni"/>
      <charset val="177"/>
    </font>
    <font>
      <b/>
      <sz val="10"/>
      <color indexed="8"/>
      <name val="Trebuchet MS"/>
      <family val="2"/>
    </font>
    <font>
      <sz val="9"/>
      <color indexed="8"/>
      <name val="Trebuchet MS"/>
      <family val="2"/>
    </font>
    <font>
      <b/>
      <sz val="10"/>
      <name val="Batang"/>
      <family val="1"/>
    </font>
    <font>
      <sz val="10"/>
      <name val="Batang"/>
      <family val="1"/>
    </font>
    <font>
      <b/>
      <sz val="10"/>
      <color indexed="10"/>
      <name val="Batang"/>
      <family val="1"/>
    </font>
    <font>
      <sz val="10"/>
      <name val="Andalus"/>
      <family val="1"/>
    </font>
    <font>
      <sz val="11"/>
      <name val="Andalus"/>
      <family val="1"/>
    </font>
    <font>
      <b/>
      <sz val="11"/>
      <name val="Andalus"/>
      <family val="1"/>
    </font>
    <font>
      <b/>
      <sz val="18"/>
      <name val="Andalus"/>
      <family val="1"/>
    </font>
    <font>
      <b/>
      <sz val="12"/>
      <name val="Andalus"/>
      <family val="1"/>
    </font>
    <font>
      <b/>
      <sz val="10"/>
      <name val="Andalus"/>
      <family val="1"/>
    </font>
    <font>
      <sz val="11"/>
      <name val="Trebuchet MS"/>
      <family val="2"/>
    </font>
    <font>
      <b/>
      <sz val="12"/>
      <color indexed="8"/>
      <name val="Trebuchet MS"/>
      <family val="2"/>
    </font>
    <font>
      <sz val="10"/>
      <color indexed="9"/>
      <name val="Trebuchet MS"/>
      <family val="2"/>
    </font>
    <font>
      <b/>
      <sz val="9"/>
      <color indexed="8"/>
      <name val="Trebuchet MS"/>
      <family val="2"/>
    </font>
    <font>
      <b/>
      <sz val="16"/>
      <color indexed="16"/>
      <name val="Trebuchet MS"/>
      <family val="2"/>
    </font>
    <font>
      <b/>
      <sz val="11"/>
      <color indexed="23"/>
      <name val="Calibri"/>
      <family val="2"/>
    </font>
    <font>
      <sz val="12"/>
      <color indexed="23"/>
      <name val="Trebuchet MS"/>
      <family val="2"/>
    </font>
    <font>
      <sz val="12"/>
      <color indexed="10"/>
      <name val="Trebuchet MS"/>
      <family val="2"/>
    </font>
    <font>
      <b/>
      <sz val="10"/>
      <color indexed="23"/>
      <name val="Trebuchet MS"/>
      <family val="2"/>
    </font>
    <font>
      <b/>
      <sz val="10"/>
      <color indexed="9"/>
      <name val="Trebuchet MS"/>
      <family val="2"/>
    </font>
    <font>
      <b/>
      <sz val="12"/>
      <color indexed="16"/>
      <name val="Trebuchet MS"/>
      <family val="2"/>
    </font>
    <font>
      <sz val="10"/>
      <color indexed="16"/>
      <name val="Trebuchet MS"/>
      <family val="2"/>
    </font>
    <font>
      <sz val="16"/>
      <color indexed="10"/>
      <name val="Trebuchet MS"/>
      <family val="2"/>
    </font>
    <font>
      <b/>
      <i/>
      <sz val="12"/>
      <color indexed="9"/>
      <name val="Trebuchet MS"/>
      <family val="2"/>
    </font>
    <font>
      <b/>
      <i/>
      <sz val="14"/>
      <color indexed="9"/>
      <name val="Trebuchet MS"/>
      <family val="2"/>
    </font>
    <font>
      <b/>
      <i/>
      <sz val="12"/>
      <color indexed="9"/>
      <name val="Arial"/>
      <family val="2"/>
    </font>
    <font>
      <b/>
      <i/>
      <sz val="12"/>
      <color indexed="9"/>
      <name val="Calibri"/>
      <family val="2"/>
    </font>
    <font>
      <b/>
      <i/>
      <sz val="11"/>
      <color indexed="9"/>
      <name val="Arial"/>
      <family val="2"/>
    </font>
    <font>
      <b/>
      <sz val="10"/>
      <color indexed="16"/>
      <name val="Trebuchet MS"/>
      <family val="2"/>
    </font>
    <font>
      <b/>
      <sz val="13"/>
      <color indexed="16"/>
      <name val="Trebuchet MS"/>
      <family val="2"/>
    </font>
    <font>
      <b/>
      <sz val="16"/>
      <name val="Arial"/>
      <family val="2"/>
    </font>
    <font>
      <b/>
      <sz val="13"/>
      <name val="Trebuchet MS"/>
      <family val="2"/>
    </font>
    <font>
      <sz val="10"/>
      <color indexed="23"/>
      <name val="Trebuchet MS"/>
      <family val="2"/>
    </font>
    <font>
      <b/>
      <u/>
      <sz val="12"/>
      <name val="Trebuchet MS"/>
      <family val="2"/>
    </font>
    <font>
      <sz val="12"/>
      <color indexed="8"/>
      <name val="Trebuchet MS"/>
      <family val="2"/>
    </font>
    <font>
      <sz val="12"/>
      <color indexed="9"/>
      <name val="Trebuchet MS"/>
      <family val="2"/>
    </font>
    <font>
      <b/>
      <sz val="14"/>
      <color indexed="9"/>
      <name val="Trebuchet MS"/>
      <family val="2"/>
    </font>
    <font>
      <b/>
      <sz val="10"/>
      <color indexed="23"/>
      <name val="Arial"/>
      <family val="2"/>
    </font>
    <font>
      <b/>
      <sz val="10"/>
      <color indexed="60"/>
      <name val="Trebuchet MS"/>
      <family val="2"/>
    </font>
    <font>
      <sz val="10"/>
      <color indexed="10"/>
      <name val="Trebuchet MS"/>
      <family val="2"/>
    </font>
    <font>
      <b/>
      <sz val="11"/>
      <color indexed="10"/>
      <name val="Trebuchet MS"/>
      <family val="2"/>
    </font>
    <font>
      <b/>
      <sz val="10"/>
      <name val="Calibri"/>
      <family val="2"/>
    </font>
    <font>
      <b/>
      <sz val="12"/>
      <name val="Times New Roman"/>
      <family val="1"/>
    </font>
    <font>
      <sz val="12"/>
      <name val="Times New Roman"/>
      <family val="1"/>
    </font>
    <font>
      <b/>
      <sz val="16"/>
      <color indexed="23"/>
      <name val="Andalus"/>
      <family val="1"/>
    </font>
    <font>
      <b/>
      <sz val="16"/>
      <name val="Rockwell"/>
      <family val="1"/>
    </font>
    <font>
      <b/>
      <sz val="9"/>
      <color indexed="23"/>
      <name val="Trebuchet MS"/>
      <family val="2"/>
    </font>
    <font>
      <b/>
      <sz val="14"/>
      <color indexed="23"/>
      <name val="Andalus"/>
      <family val="1"/>
    </font>
    <font>
      <b/>
      <sz val="15"/>
      <color indexed="23"/>
      <name val="Andalus"/>
      <family val="1"/>
    </font>
    <font>
      <b/>
      <sz val="18"/>
      <color indexed="23"/>
      <name val="Andalus"/>
      <family val="1"/>
    </font>
    <font>
      <sz val="9"/>
      <color indexed="10"/>
      <name val="Trebuchet MS"/>
      <family val="2"/>
    </font>
    <font>
      <b/>
      <i/>
      <sz val="9"/>
      <name val="Arial"/>
      <family val="2"/>
    </font>
    <font>
      <b/>
      <sz val="9"/>
      <name val="Calibri"/>
      <family val="2"/>
    </font>
    <font>
      <b/>
      <sz val="9"/>
      <color indexed="9"/>
      <name val="Trebuchet MS"/>
      <family val="2"/>
    </font>
    <font>
      <b/>
      <sz val="8"/>
      <name val="Arial"/>
      <family val="2"/>
    </font>
    <font>
      <b/>
      <sz val="9"/>
      <name val="Teen Light"/>
    </font>
    <font>
      <b/>
      <sz val="10"/>
      <name val="Teen Light"/>
    </font>
    <font>
      <b/>
      <sz val="11"/>
      <color indexed="10"/>
      <name val="Andalus"/>
      <family val="1"/>
    </font>
    <font>
      <sz val="11"/>
      <color indexed="10"/>
      <name val="Andalus"/>
      <family val="1"/>
    </font>
    <font>
      <sz val="10"/>
      <color indexed="10"/>
      <name val="Andalus"/>
      <family val="1"/>
    </font>
    <font>
      <u/>
      <sz val="8.1"/>
      <color theme="10"/>
      <name val="Arial"/>
      <family val="2"/>
    </font>
    <font>
      <b/>
      <sz val="8"/>
      <color indexed="16"/>
      <name val="Trebuchet MS"/>
      <family val="2"/>
    </font>
    <font>
      <b/>
      <sz val="16"/>
      <color indexed="9"/>
      <name val="Nyala"/>
    </font>
    <font>
      <sz val="10"/>
      <color indexed="8"/>
      <name val="Estrangelo Edessa"/>
      <family val="4"/>
    </font>
    <font>
      <sz val="10"/>
      <name val="Estrangelo Edessa"/>
      <family val="4"/>
    </font>
    <font>
      <sz val="12"/>
      <color indexed="8"/>
      <name val="Nyala"/>
    </font>
    <font>
      <sz val="12"/>
      <color indexed="8"/>
      <name val="Estrangelo Edessa"/>
      <family val="4"/>
    </font>
    <font>
      <b/>
      <sz val="12"/>
      <name val="Nyala"/>
    </font>
    <font>
      <sz val="9"/>
      <color indexed="8"/>
      <name val="Estrangelo Edessa"/>
      <family val="4"/>
    </font>
    <font>
      <sz val="9"/>
      <color indexed="8"/>
      <name val="Nyala"/>
    </font>
    <font>
      <b/>
      <sz val="20"/>
      <name val="Nyala"/>
    </font>
    <font>
      <b/>
      <sz val="10"/>
      <color theme="0"/>
      <name val="Trebuchet MS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9"/>
      <color theme="0"/>
      <name val="Calibri"/>
      <family val="2"/>
    </font>
    <font>
      <b/>
      <sz val="10"/>
      <color theme="0"/>
      <name val="Calibri"/>
      <family val="2"/>
    </font>
    <font>
      <b/>
      <sz val="12"/>
      <color theme="0"/>
      <name val="Calibri"/>
      <family val="2"/>
    </font>
    <font>
      <b/>
      <sz val="20"/>
      <name val="Teen Light"/>
    </font>
    <font>
      <b/>
      <i/>
      <sz val="11"/>
      <name val="Trebuchet MS"/>
      <family val="2"/>
    </font>
    <font>
      <sz val="11"/>
      <color theme="0"/>
      <name val="Andalus"/>
      <family val="1"/>
    </font>
    <font>
      <sz val="10"/>
      <color theme="0"/>
      <name val="Arial"/>
      <family val="2"/>
    </font>
    <font>
      <b/>
      <sz val="10"/>
      <color theme="0"/>
      <name val="Andalus"/>
      <family val="1"/>
    </font>
    <font>
      <b/>
      <sz val="18"/>
      <name val="Arial"/>
      <family val="2"/>
    </font>
    <font>
      <b/>
      <sz val="12"/>
      <name val="Teen Light"/>
    </font>
    <font>
      <b/>
      <sz val="10"/>
      <name val="Estrangelo Edessa"/>
      <family val="4"/>
    </font>
    <font>
      <b/>
      <sz val="10"/>
      <color rgb="FFAD301B"/>
      <name val="Estrangelo Edessa"/>
      <family val="4"/>
    </font>
    <font>
      <b/>
      <sz val="9"/>
      <name val="Palatino Linotype"/>
      <family val="1"/>
    </font>
    <font>
      <b/>
      <sz val="11"/>
      <name val="Calibri"/>
      <family val="2"/>
    </font>
    <font>
      <b/>
      <sz val="11"/>
      <color theme="0"/>
      <name val="Calibri"/>
      <family val="2"/>
    </font>
    <font>
      <sz val="10"/>
      <color theme="1" tint="0.499984740745262"/>
      <name val="Estrangelo Edessa"/>
      <family val="4"/>
    </font>
    <font>
      <sz val="10"/>
      <color rgb="FFFF0000"/>
      <name val="Arial"/>
      <family val="2"/>
    </font>
    <font>
      <sz val="10"/>
      <color rgb="FFFF0000"/>
      <name val="Trebuchet MS"/>
      <family val="2"/>
    </font>
  </fonts>
  <fills count="4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3209B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22A661"/>
        <bgColor indexed="64"/>
      </patternFill>
    </fill>
    <fill>
      <patternFill patternType="solid">
        <fgColor rgb="FF8314B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AD301B"/>
        <bgColor indexed="64"/>
      </patternFill>
    </fill>
    <fill>
      <patternFill patternType="solid">
        <fgColor rgb="FF0033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CC00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5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/>
      <right/>
      <top/>
      <bottom style="medium">
        <color indexed="9"/>
      </bottom>
      <diagonal/>
    </border>
    <border>
      <left/>
      <right/>
      <top/>
      <bottom style="thin">
        <color indexed="64"/>
      </bottom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55"/>
      </top>
      <bottom style="medium">
        <color indexed="9"/>
      </bottom>
      <diagonal/>
    </border>
    <border>
      <left style="medium">
        <color indexed="9"/>
      </left>
      <right/>
      <top style="medium">
        <color indexed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/>
      <diagonal/>
    </border>
    <border>
      <left/>
      <right style="medium">
        <color indexed="9"/>
      </right>
      <top style="medium">
        <color indexed="9"/>
      </top>
      <bottom/>
      <diagonal/>
    </border>
    <border>
      <left style="medium">
        <color indexed="23"/>
      </left>
      <right style="medium">
        <color indexed="23"/>
      </right>
      <top/>
      <bottom style="thin">
        <color indexed="9"/>
      </bottom>
      <diagonal/>
    </border>
    <border>
      <left style="medium">
        <color indexed="23"/>
      </left>
      <right style="thin">
        <color indexed="9"/>
      </right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55"/>
      </top>
      <bottom/>
      <diagonal/>
    </border>
    <border>
      <left/>
      <right style="thick">
        <color indexed="23"/>
      </right>
      <top style="medium">
        <color indexed="55"/>
      </top>
      <bottom/>
      <diagonal/>
    </border>
    <border>
      <left/>
      <right style="medium">
        <color indexed="23"/>
      </right>
      <top/>
      <bottom style="thin">
        <color indexed="9"/>
      </bottom>
      <diagonal/>
    </border>
    <border>
      <left/>
      <right style="medium">
        <color indexed="55"/>
      </right>
      <top/>
      <bottom style="medium">
        <color indexed="55"/>
      </bottom>
      <diagonal/>
    </border>
    <border>
      <left style="medium">
        <color indexed="55"/>
      </left>
      <right style="medium">
        <color indexed="55"/>
      </right>
      <top/>
      <bottom style="medium">
        <color indexed="55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 style="medium">
        <color indexed="9"/>
      </left>
      <right/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9"/>
      </right>
      <top style="medium">
        <color indexed="23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23"/>
      </top>
      <bottom style="medium">
        <color indexed="9"/>
      </bottom>
      <diagonal/>
    </border>
    <border>
      <left style="medium">
        <color indexed="23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 style="medium">
        <color indexed="23"/>
      </right>
      <top/>
      <bottom style="medium">
        <color indexed="23"/>
      </bottom>
      <diagonal/>
    </border>
    <border>
      <left style="medium">
        <color indexed="23"/>
      </left>
      <right style="medium">
        <color indexed="9"/>
      </right>
      <top style="medium">
        <color indexed="9"/>
      </top>
      <bottom/>
      <diagonal/>
    </border>
    <border>
      <left style="medium">
        <color indexed="55"/>
      </left>
      <right/>
      <top/>
      <bottom/>
      <diagonal/>
    </border>
    <border>
      <left style="medium">
        <color indexed="55"/>
      </left>
      <right/>
      <top/>
      <bottom style="medium">
        <color indexed="55"/>
      </bottom>
      <diagonal/>
    </border>
    <border>
      <left style="medium">
        <color indexed="23"/>
      </left>
      <right style="medium">
        <color indexed="9"/>
      </right>
      <top/>
      <bottom style="medium">
        <color indexed="9"/>
      </bottom>
      <diagonal/>
    </border>
    <border>
      <left style="medium">
        <color indexed="55"/>
      </left>
      <right/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 style="medium">
        <color indexed="55"/>
      </right>
      <top/>
      <bottom/>
      <diagonal/>
    </border>
    <border>
      <left/>
      <right/>
      <top/>
      <bottom style="medium">
        <color indexed="55"/>
      </bottom>
      <diagonal/>
    </border>
    <border>
      <left/>
      <right/>
      <top style="medium">
        <color indexed="55"/>
      </top>
      <bottom style="medium">
        <color indexed="55"/>
      </bottom>
      <diagonal/>
    </border>
    <border>
      <left style="medium">
        <color indexed="9"/>
      </left>
      <right/>
      <top style="medium">
        <color indexed="55"/>
      </top>
      <bottom style="medium">
        <color indexed="22"/>
      </bottom>
      <diagonal/>
    </border>
    <border>
      <left style="medium">
        <color indexed="55"/>
      </left>
      <right/>
      <top style="medium">
        <color indexed="55"/>
      </top>
      <bottom style="medium">
        <color indexed="2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22"/>
      </bottom>
      <diagonal/>
    </border>
    <border>
      <left/>
      <right/>
      <top style="medium">
        <color indexed="23"/>
      </top>
      <bottom/>
      <diagonal/>
    </border>
    <border>
      <left style="medium">
        <color indexed="9"/>
      </left>
      <right style="medium">
        <color indexed="9"/>
      </right>
      <top style="medium">
        <color indexed="23"/>
      </top>
      <bottom/>
      <diagonal/>
    </border>
    <border>
      <left style="medium">
        <color indexed="55"/>
      </left>
      <right style="medium">
        <color indexed="55"/>
      </right>
      <top/>
      <bottom style="medium">
        <color indexed="9"/>
      </bottom>
      <diagonal/>
    </border>
    <border>
      <left/>
      <right style="medium">
        <color indexed="9"/>
      </right>
      <top style="medium">
        <color indexed="55"/>
      </top>
      <bottom style="medium">
        <color indexed="55"/>
      </bottom>
      <diagonal/>
    </border>
    <border>
      <left style="medium">
        <color indexed="9"/>
      </left>
      <right style="medium">
        <color indexed="9"/>
      </right>
      <top style="medium">
        <color indexed="55"/>
      </top>
      <bottom style="medium">
        <color indexed="55"/>
      </bottom>
      <diagonal/>
    </border>
    <border>
      <left style="medium">
        <color indexed="9"/>
      </left>
      <right style="medium">
        <color indexed="9"/>
      </right>
      <top style="medium">
        <color indexed="55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/>
      <right style="medium">
        <color indexed="9"/>
      </right>
      <top/>
      <bottom/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/>
      <right style="medium">
        <color indexed="55"/>
      </right>
      <top/>
      <bottom style="medium">
        <color indexed="9"/>
      </bottom>
      <diagonal/>
    </border>
    <border>
      <left style="medium">
        <color indexed="55"/>
      </left>
      <right/>
      <top/>
      <bottom style="medium">
        <color indexed="9"/>
      </bottom>
      <diagonal/>
    </border>
    <border>
      <left/>
      <right style="medium">
        <color indexed="55"/>
      </right>
      <top style="medium">
        <color indexed="9"/>
      </top>
      <bottom style="medium">
        <color indexed="9"/>
      </bottom>
      <diagonal/>
    </border>
    <border>
      <left style="medium">
        <color indexed="55"/>
      </left>
      <right style="medium">
        <color indexed="55"/>
      </right>
      <top/>
      <bottom/>
      <diagonal/>
    </border>
    <border>
      <left/>
      <right style="medium">
        <color indexed="23"/>
      </right>
      <top style="medium">
        <color indexed="23"/>
      </top>
      <bottom style="medium">
        <color indexed="23"/>
      </bottom>
      <diagonal/>
    </border>
    <border>
      <left/>
      <right/>
      <top style="medium">
        <color indexed="9"/>
      </top>
      <bottom/>
      <diagonal/>
    </border>
    <border>
      <left style="medium">
        <color indexed="23"/>
      </left>
      <right style="medium">
        <color indexed="23"/>
      </right>
      <top/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22"/>
      </bottom>
      <diagonal/>
    </border>
    <border>
      <left style="medium">
        <color indexed="55"/>
      </left>
      <right style="medium">
        <color indexed="55"/>
      </right>
      <top style="medium">
        <color indexed="22"/>
      </top>
      <bottom style="medium">
        <color indexed="55"/>
      </bottom>
      <diagonal/>
    </border>
    <border>
      <left style="medium">
        <color indexed="55"/>
      </left>
      <right style="medium">
        <color indexed="55"/>
      </right>
      <top style="medium">
        <color indexed="9"/>
      </top>
      <bottom/>
      <diagonal/>
    </border>
    <border>
      <left/>
      <right style="medium">
        <color indexed="9"/>
      </right>
      <top style="medium">
        <color indexed="55"/>
      </top>
      <bottom/>
      <diagonal/>
    </border>
    <border>
      <left style="medium">
        <color indexed="9"/>
      </left>
      <right style="medium">
        <color indexed="23"/>
      </right>
      <top style="medium">
        <color indexed="23"/>
      </top>
      <bottom style="medium">
        <color indexed="9"/>
      </bottom>
      <diagonal/>
    </border>
    <border>
      <left style="medium">
        <color indexed="9"/>
      </left>
      <right style="medium">
        <color indexed="23"/>
      </right>
      <top/>
      <bottom style="medium">
        <color indexed="9"/>
      </bottom>
      <diagonal/>
    </border>
    <border>
      <left style="medium">
        <color indexed="9"/>
      </left>
      <right style="medium">
        <color indexed="23"/>
      </right>
      <top style="medium">
        <color indexed="9"/>
      </top>
      <bottom style="medium">
        <color indexed="9"/>
      </bottom>
      <diagonal/>
    </border>
    <border>
      <left/>
      <right style="medium">
        <color indexed="55"/>
      </right>
      <top style="medium">
        <color indexed="9"/>
      </top>
      <bottom/>
      <diagonal/>
    </border>
    <border>
      <left style="medium">
        <color indexed="23"/>
      </left>
      <right style="medium">
        <color indexed="9"/>
      </right>
      <top/>
      <bottom style="medium">
        <color indexed="23"/>
      </bottom>
      <diagonal/>
    </border>
    <border>
      <left style="medium">
        <color indexed="9"/>
      </left>
      <right style="medium">
        <color indexed="9"/>
      </right>
      <top/>
      <bottom style="medium">
        <color indexed="23"/>
      </bottom>
      <diagonal/>
    </border>
    <border>
      <left style="medium">
        <color indexed="9"/>
      </left>
      <right style="medium">
        <color indexed="23"/>
      </right>
      <top/>
      <bottom style="medium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9"/>
      </top>
      <bottom/>
      <diagonal/>
    </border>
    <border>
      <left/>
      <right style="medium">
        <color indexed="23"/>
      </right>
      <top/>
      <bottom/>
      <diagonal/>
    </border>
    <border>
      <left/>
      <right style="medium">
        <color indexed="23"/>
      </right>
      <top style="medium">
        <color indexed="23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medium">
        <color indexed="23"/>
      </left>
      <right/>
      <top style="medium">
        <color indexed="23"/>
      </top>
      <bottom/>
      <diagonal/>
    </border>
    <border>
      <left style="thick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 style="thick">
        <color indexed="23"/>
      </right>
      <top style="medium">
        <color indexed="23"/>
      </top>
      <bottom/>
      <diagonal/>
    </border>
    <border>
      <left style="thick">
        <color indexed="23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thick">
        <color indexed="23"/>
      </right>
      <top style="medium">
        <color indexed="55"/>
      </top>
      <bottom style="medium">
        <color indexed="55"/>
      </bottom>
      <diagonal/>
    </border>
    <border>
      <left style="thick">
        <color indexed="23"/>
      </left>
      <right style="medium">
        <color indexed="55"/>
      </right>
      <top/>
      <bottom/>
      <diagonal/>
    </border>
    <border>
      <left style="thick">
        <color indexed="23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ck">
        <color indexed="23"/>
      </left>
      <right style="medium">
        <color indexed="55"/>
      </right>
      <top/>
      <bottom style="medium">
        <color indexed="55"/>
      </bottom>
      <diagonal/>
    </border>
    <border>
      <left style="thick">
        <color indexed="23"/>
      </left>
      <right style="medium">
        <color indexed="55"/>
      </right>
      <top style="medium">
        <color indexed="55"/>
      </top>
      <bottom/>
      <diagonal/>
    </border>
    <border>
      <left style="thick">
        <color indexed="23"/>
      </left>
      <right style="medium">
        <color indexed="9"/>
      </right>
      <top style="medium">
        <color indexed="9"/>
      </top>
      <bottom/>
      <diagonal/>
    </border>
    <border>
      <left style="medium">
        <color indexed="55"/>
      </left>
      <right style="thick">
        <color indexed="23"/>
      </right>
      <top style="medium">
        <color indexed="55"/>
      </top>
      <bottom/>
      <diagonal/>
    </border>
    <border>
      <left style="medium">
        <color indexed="55"/>
      </left>
      <right style="medium">
        <color indexed="22"/>
      </right>
      <top style="medium">
        <color indexed="55"/>
      </top>
      <bottom style="medium">
        <color indexed="55"/>
      </bottom>
      <diagonal/>
    </border>
    <border>
      <left style="medium">
        <color indexed="22"/>
      </left>
      <right style="medium">
        <color indexed="22"/>
      </right>
      <top style="medium">
        <color indexed="55"/>
      </top>
      <bottom style="medium">
        <color indexed="55"/>
      </bottom>
      <diagonal/>
    </border>
    <border>
      <left style="medium">
        <color indexed="22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9"/>
      </left>
      <right/>
      <top style="medium">
        <color indexed="55"/>
      </top>
      <bottom style="medium">
        <color indexed="9"/>
      </bottom>
      <diagonal/>
    </border>
    <border>
      <left/>
      <right style="medium">
        <color indexed="9"/>
      </right>
      <top style="medium">
        <color indexed="55"/>
      </top>
      <bottom style="medium">
        <color indexed="9"/>
      </bottom>
      <diagonal/>
    </border>
    <border>
      <left style="medium">
        <color indexed="55"/>
      </left>
      <right/>
      <top style="medium">
        <color indexed="9"/>
      </top>
      <bottom style="medium">
        <color indexed="55"/>
      </bottom>
      <diagonal/>
    </border>
    <border>
      <left/>
      <right style="medium">
        <color indexed="55"/>
      </right>
      <top style="medium">
        <color indexed="9"/>
      </top>
      <bottom style="medium">
        <color indexed="55"/>
      </bottom>
      <diagonal/>
    </border>
    <border>
      <left style="medium">
        <color indexed="9"/>
      </left>
      <right/>
      <top/>
      <bottom style="medium">
        <color indexed="55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23"/>
      </left>
      <right/>
      <top style="thick">
        <color indexed="23"/>
      </top>
      <bottom style="thick">
        <color indexed="23"/>
      </bottom>
      <diagonal/>
    </border>
    <border>
      <left/>
      <right/>
      <top style="thick">
        <color indexed="23"/>
      </top>
      <bottom style="thick">
        <color indexed="23"/>
      </bottom>
      <diagonal/>
    </border>
    <border>
      <left/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thick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thick">
        <color indexed="23"/>
      </top>
      <bottom style="medium">
        <color indexed="23"/>
      </bottom>
      <diagonal/>
    </border>
    <border>
      <left style="thick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thick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 style="medium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23"/>
      </left>
      <right style="medium">
        <color indexed="23"/>
      </right>
      <top style="thin">
        <color indexed="23"/>
      </top>
      <bottom/>
      <diagonal/>
    </border>
    <border>
      <left style="medium">
        <color indexed="23"/>
      </left>
      <right style="medium">
        <color indexed="23"/>
      </right>
      <top style="thin">
        <color indexed="23"/>
      </top>
      <bottom style="medium">
        <color indexed="2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9"/>
      </left>
      <right/>
      <top style="medium">
        <color indexed="9"/>
      </top>
      <bottom style="medium">
        <color indexed="55"/>
      </bottom>
      <diagonal/>
    </border>
    <border>
      <left/>
      <right style="medium">
        <color indexed="9"/>
      </right>
      <top style="medium">
        <color indexed="9"/>
      </top>
      <bottom style="medium">
        <color indexed="55"/>
      </bottom>
      <diagonal/>
    </border>
    <border>
      <left style="medium">
        <color indexed="9"/>
      </left>
      <right style="medium">
        <color indexed="9"/>
      </right>
      <top/>
      <bottom style="medium">
        <color indexed="55"/>
      </bottom>
      <diagonal/>
    </border>
    <border>
      <left style="medium">
        <color indexed="9"/>
      </left>
      <right/>
      <top style="medium">
        <color indexed="23"/>
      </top>
      <bottom style="medium">
        <color indexed="9"/>
      </bottom>
      <diagonal/>
    </border>
    <border>
      <left/>
      <right style="medium">
        <color indexed="9"/>
      </right>
      <top style="medium">
        <color indexed="23"/>
      </top>
      <bottom style="medium">
        <color indexed="9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medium">
        <color indexed="9"/>
      </left>
      <right/>
      <top style="medium">
        <color indexed="55"/>
      </top>
      <bottom style="medium">
        <color indexed="55"/>
      </bottom>
      <diagonal/>
    </border>
    <border>
      <left style="medium">
        <color indexed="9"/>
      </left>
      <right style="medium">
        <color indexed="55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/>
      <top style="medium">
        <color indexed="55"/>
      </top>
      <bottom/>
      <diagonal/>
    </border>
    <border>
      <left style="medium">
        <color indexed="9"/>
      </left>
      <right style="medium">
        <color indexed="55"/>
      </right>
      <top/>
      <bottom/>
      <diagonal/>
    </border>
    <border>
      <left/>
      <right/>
      <top style="medium">
        <color indexed="55"/>
      </top>
      <bottom style="medium">
        <color indexed="9"/>
      </bottom>
      <diagonal/>
    </border>
    <border>
      <left/>
      <right/>
      <top style="medium">
        <color indexed="23"/>
      </top>
      <bottom style="medium">
        <color indexed="9"/>
      </bottom>
      <diagonal/>
    </border>
    <border>
      <left/>
      <right style="medium">
        <color indexed="9"/>
      </right>
      <top/>
      <bottom style="medium">
        <color indexed="55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9"/>
      </left>
      <right style="medium">
        <color theme="0" tint="-0.499984740745262"/>
      </right>
      <top style="medium">
        <color indexed="9"/>
      </top>
      <bottom/>
      <diagonal/>
    </border>
    <border>
      <left style="medium">
        <color indexed="9"/>
      </left>
      <right style="medium">
        <color theme="0" tint="-0.499984740745262"/>
      </right>
      <top/>
      <bottom/>
      <diagonal/>
    </border>
    <border>
      <left style="medium">
        <color indexed="55"/>
      </left>
      <right style="medium">
        <color theme="0" tint="-0.499984740745262"/>
      </right>
      <top style="medium">
        <color indexed="55"/>
      </top>
      <bottom style="medium">
        <color indexed="55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ck">
        <color indexed="23"/>
      </left>
      <right style="medium">
        <color indexed="55"/>
      </right>
      <top style="medium">
        <color indexed="55"/>
      </top>
      <bottom style="thick">
        <color indexed="23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thick">
        <color indexed="23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indexed="9"/>
      </left>
      <right/>
      <top style="medium">
        <color theme="1" tint="0.499984740745262"/>
      </top>
      <bottom/>
      <diagonal/>
    </border>
    <border>
      <left/>
      <right style="medium">
        <color indexed="9"/>
      </right>
      <top style="medium">
        <color theme="1" tint="0.499984740745262"/>
      </top>
      <bottom/>
      <diagonal/>
    </border>
    <border>
      <left/>
      <right style="medium">
        <color theme="0" tint="-0.499984740745262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theme="0" tint="-0.499984740745262"/>
      </right>
      <top/>
      <bottom style="medium">
        <color indexed="9"/>
      </bottom>
      <diagonal/>
    </border>
    <border>
      <left style="medium">
        <color theme="0" tint="-0.34998626667073579"/>
      </left>
      <right style="medium">
        <color indexed="9"/>
      </right>
      <top style="medium">
        <color indexed="55"/>
      </top>
      <bottom style="medium">
        <color theme="0" tint="-0.34998626667073579"/>
      </bottom>
      <diagonal/>
    </border>
    <border>
      <left style="medium">
        <color indexed="9"/>
      </left>
      <right style="medium">
        <color indexed="9"/>
      </right>
      <top style="medium">
        <color indexed="55"/>
      </top>
      <bottom style="medium">
        <color theme="0" tint="-0.34998626667073579"/>
      </bottom>
      <diagonal/>
    </border>
    <border>
      <left style="medium">
        <color indexed="9"/>
      </left>
      <right style="medium">
        <color theme="0" tint="-0.34998626667073579"/>
      </right>
      <top style="medium">
        <color indexed="55"/>
      </top>
      <bottom style="medium">
        <color theme="0" tint="-0.34998626667073579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indexed="23"/>
      </left>
      <right/>
      <top style="thick">
        <color indexed="23"/>
      </top>
      <bottom style="medium">
        <color indexed="23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ck">
        <color indexed="23"/>
      </left>
      <right/>
      <top style="medium">
        <color indexed="23"/>
      </top>
      <bottom style="medium">
        <color indexed="23"/>
      </bottom>
      <diagonal/>
    </border>
    <border>
      <left/>
      <right style="thick">
        <color indexed="23"/>
      </right>
      <top style="medium">
        <color indexed="23"/>
      </top>
      <bottom style="medium">
        <color indexed="23"/>
      </bottom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23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/>
      </top>
      <bottom/>
      <diagonal/>
    </border>
    <border>
      <left style="medium">
        <color theme="0"/>
      </left>
      <right style="medium">
        <color theme="0" tint="-0.34998626667073579"/>
      </right>
      <top style="medium">
        <color theme="0"/>
      </top>
      <bottom/>
      <diagonal/>
    </border>
    <border>
      <left style="medium">
        <color indexed="9"/>
      </left>
      <right style="medium">
        <color theme="0" tint="-0.34998626667073579"/>
      </right>
      <top/>
      <bottom style="medium">
        <color indexed="9"/>
      </bottom>
      <diagonal/>
    </border>
    <border>
      <left style="medium">
        <color theme="0" tint="-0.34998626667073579"/>
      </left>
      <right style="medium">
        <color theme="0" tint="-0.34998626667073579"/>
      </right>
      <top/>
      <bottom style="medium">
        <color indexed="9"/>
      </bottom>
      <diagonal/>
    </border>
    <border>
      <left style="thin">
        <color theme="0" tint="-0.34998626667073579"/>
      </left>
      <right/>
      <top/>
      <bottom/>
      <diagonal/>
    </border>
    <border>
      <left style="medium">
        <color indexed="9"/>
      </left>
      <right style="medium">
        <color indexed="55"/>
      </right>
      <top style="medium">
        <color indexed="55"/>
      </top>
      <bottom style="thin">
        <color theme="0" tint="-0.34998626667073579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thin">
        <color theme="0" tint="-0.34998626667073579"/>
      </bottom>
      <diagonal/>
    </border>
    <border>
      <left/>
      <right style="medium">
        <color indexed="9"/>
      </right>
      <top style="medium">
        <color indexed="9"/>
      </top>
      <bottom style="thin">
        <color theme="0" tint="-0.34998626667073579"/>
      </bottom>
      <diagonal/>
    </border>
    <border>
      <left style="medium">
        <color indexed="9"/>
      </left>
      <right style="medium">
        <color indexed="55"/>
      </right>
      <top style="medium">
        <color indexed="9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/>
      </top>
      <bottom/>
      <diagonal/>
    </border>
    <border>
      <left style="medium">
        <color theme="0" tint="-0.34998626667073579"/>
      </left>
      <right/>
      <top/>
      <bottom style="medium">
        <color indexed="9"/>
      </bottom>
      <diagonal/>
    </border>
    <border>
      <left style="medium">
        <color indexed="55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indexed="55"/>
      </left>
      <right style="medium">
        <color theme="0"/>
      </right>
      <top style="medium">
        <color theme="0"/>
      </top>
      <bottom style="medium">
        <color indexed="9"/>
      </bottom>
      <diagonal/>
    </border>
    <border>
      <left style="medium">
        <color theme="0"/>
      </left>
      <right/>
      <top style="medium">
        <color theme="0"/>
      </top>
      <bottom style="medium">
        <color indexed="9"/>
      </bottom>
      <diagonal/>
    </border>
    <border>
      <left/>
      <right style="medium">
        <color theme="0" tint="-0.499984740745262"/>
      </right>
      <top style="medium">
        <color indexed="55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indexed="55"/>
      </right>
      <top style="medium">
        <color indexed="55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thin">
        <color theme="0" tint="-0.34998626667073579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thin">
        <color theme="0" tint="-0.34998626667073579"/>
      </bottom>
      <diagonal/>
    </border>
    <border>
      <left style="thick">
        <color theme="1" tint="0.34998626667073579"/>
      </left>
      <right style="thick">
        <color theme="1" tint="0.34998626667073579"/>
      </right>
      <top style="thick">
        <color theme="1" tint="0.34998626667073579"/>
      </top>
      <bottom style="thick">
        <color theme="1" tint="0.34998626667073579"/>
      </bottom>
      <diagonal/>
    </border>
    <border>
      <left style="thick">
        <color theme="1" tint="0.34998626667073579"/>
      </left>
      <right style="thick">
        <color theme="1" tint="0.34998626667073579"/>
      </right>
      <top style="thick">
        <color theme="1" tint="0.34998626667073579"/>
      </top>
      <bottom/>
      <diagonal/>
    </border>
    <border>
      <left style="thick">
        <color theme="1" tint="0.34998626667073579"/>
      </left>
      <right style="thick">
        <color theme="1" tint="0.34998626667073579"/>
      </right>
      <top/>
      <bottom/>
      <diagonal/>
    </border>
    <border>
      <left style="thick">
        <color theme="1" tint="0.34998626667073579"/>
      </left>
      <right style="thick">
        <color theme="1" tint="0.34998626667073579"/>
      </right>
      <top/>
      <bottom style="thick">
        <color theme="1" tint="0.34998626667073579"/>
      </bottom>
      <diagonal/>
    </border>
    <border>
      <left style="thick">
        <color indexed="23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 style="thick">
        <color indexed="23"/>
      </right>
      <top style="thick">
        <color theme="0"/>
      </top>
      <bottom style="thick">
        <color theme="0"/>
      </bottom>
      <diagonal/>
    </border>
    <border>
      <left style="thick">
        <color indexed="23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ck">
        <color indexed="23"/>
      </right>
      <top style="thick">
        <color theme="0"/>
      </top>
      <bottom/>
      <diagonal/>
    </border>
    <border>
      <left/>
      <right/>
      <top style="medium">
        <color theme="1" tint="0.499984740745262"/>
      </top>
      <bottom/>
      <diagonal/>
    </border>
    <border>
      <left style="medium">
        <color indexed="22"/>
      </left>
      <right/>
      <top style="medium">
        <color theme="0" tint="-0.34998626667073579"/>
      </top>
      <bottom style="medium">
        <color indexed="55"/>
      </bottom>
      <diagonal/>
    </border>
    <border>
      <left/>
      <right style="medium">
        <color indexed="22"/>
      </right>
      <top style="medium">
        <color theme="0" tint="-0.34998626667073579"/>
      </top>
      <bottom style="medium">
        <color indexed="55"/>
      </bottom>
      <diagonal/>
    </border>
    <border>
      <left style="medium">
        <color theme="0"/>
      </left>
      <right style="medium">
        <color theme="0"/>
      </right>
      <top style="medium">
        <color indexed="55"/>
      </top>
      <bottom style="medium">
        <color indexed="55"/>
      </bottom>
      <diagonal/>
    </border>
    <border>
      <left style="medium">
        <color theme="0"/>
      </left>
      <right style="medium">
        <color theme="0"/>
      </right>
      <top style="medium">
        <color indexed="55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indexed="55"/>
      </bottom>
      <diagonal/>
    </border>
    <border>
      <left style="medium">
        <color theme="0"/>
      </left>
      <right/>
      <top style="medium">
        <color indexed="55"/>
      </top>
      <bottom style="medium">
        <color indexed="55"/>
      </bottom>
      <diagonal/>
    </border>
    <border>
      <left/>
      <right style="medium">
        <color theme="0"/>
      </right>
      <top style="medium">
        <color indexed="55"/>
      </top>
      <bottom style="medium">
        <color indexed="55"/>
      </bottom>
      <diagonal/>
    </border>
    <border>
      <left style="thick">
        <color auto="1"/>
      </left>
      <right style="medium">
        <color indexed="55"/>
      </right>
      <top/>
      <bottom style="medium">
        <color indexed="55"/>
      </bottom>
      <diagonal/>
    </border>
    <border>
      <left style="medium">
        <color indexed="55"/>
      </left>
      <right style="thick">
        <color auto="1"/>
      </right>
      <top/>
      <bottom style="medium">
        <color indexed="55"/>
      </bottom>
      <diagonal/>
    </border>
    <border>
      <left style="thick">
        <color auto="1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medium">
        <color indexed="55"/>
      </left>
      <right style="thick">
        <color auto="1"/>
      </right>
      <top style="medium">
        <color indexed="55"/>
      </top>
      <bottom style="medium">
        <color indexed="55"/>
      </bottom>
      <diagonal/>
    </border>
    <border>
      <left style="thick">
        <color auto="1"/>
      </left>
      <right style="medium">
        <color theme="0"/>
      </right>
      <top style="medium">
        <color indexed="55"/>
      </top>
      <bottom style="medium">
        <color indexed="55"/>
      </bottom>
      <diagonal/>
    </border>
    <border>
      <left style="medium">
        <color theme="0"/>
      </left>
      <right style="thick">
        <color auto="1"/>
      </right>
      <top style="medium">
        <color indexed="55"/>
      </top>
      <bottom style="medium">
        <color indexed="55"/>
      </bottom>
      <diagonal/>
    </border>
    <border>
      <left style="thick">
        <color auto="1"/>
      </left>
      <right style="medium">
        <color indexed="55"/>
      </right>
      <top style="medium">
        <color indexed="55"/>
      </top>
      <bottom/>
      <diagonal/>
    </border>
    <border>
      <left style="thick">
        <color auto="1"/>
      </left>
      <right style="medium">
        <color indexed="55"/>
      </right>
      <top/>
      <bottom/>
      <diagonal/>
    </border>
    <border>
      <left style="medium">
        <color theme="0"/>
      </left>
      <right/>
      <top style="medium">
        <color indexed="55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indexed="55"/>
      </bottom>
      <diagonal/>
    </border>
    <border>
      <left style="thick">
        <color indexed="23"/>
      </left>
      <right/>
      <top/>
      <bottom style="thick">
        <color indexed="23"/>
      </bottom>
      <diagonal/>
    </border>
    <border>
      <left/>
      <right/>
      <top/>
      <bottom style="thick">
        <color indexed="23"/>
      </bottom>
      <diagonal/>
    </border>
    <border>
      <left/>
      <right style="thick">
        <color indexed="23"/>
      </right>
      <top/>
      <bottom style="thick">
        <color indexed="23"/>
      </bottom>
      <diagonal/>
    </border>
    <border>
      <left style="thick">
        <color auto="1"/>
      </left>
      <right style="medium">
        <color theme="0"/>
      </right>
      <top style="thick">
        <color auto="1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thick">
        <color auto="1"/>
      </top>
      <bottom style="medium">
        <color theme="0"/>
      </bottom>
      <diagonal/>
    </border>
    <border>
      <left style="medium">
        <color theme="0"/>
      </left>
      <right style="thick">
        <color auto="1"/>
      </right>
      <top style="thick">
        <color auto="1"/>
      </top>
      <bottom style="medium">
        <color theme="0"/>
      </bottom>
      <diagonal/>
    </border>
    <border>
      <left/>
      <right style="medium">
        <color theme="0"/>
      </right>
      <top style="thick">
        <color auto="1"/>
      </top>
      <bottom style="medium">
        <color theme="0"/>
      </bottom>
      <diagonal/>
    </border>
    <border>
      <left style="thick">
        <color auto="1"/>
      </left>
      <right style="medium">
        <color theme="0"/>
      </right>
      <top style="medium">
        <color indexed="55"/>
      </top>
      <bottom style="thick">
        <color auto="1"/>
      </bottom>
      <diagonal/>
    </border>
    <border>
      <left style="medium">
        <color theme="0"/>
      </left>
      <right style="medium">
        <color theme="0"/>
      </right>
      <top style="medium">
        <color indexed="55"/>
      </top>
      <bottom style="thick">
        <color auto="1"/>
      </bottom>
      <diagonal/>
    </border>
    <border>
      <left style="medium">
        <color theme="0"/>
      </left>
      <right style="thick">
        <color auto="1"/>
      </right>
      <top style="medium">
        <color indexed="55"/>
      </top>
      <bottom style="thick">
        <color auto="1"/>
      </bottom>
      <diagonal/>
    </border>
    <border>
      <left/>
      <right style="medium">
        <color theme="0"/>
      </right>
      <top style="medium">
        <color indexed="55"/>
      </top>
      <bottom style="thick">
        <color auto="1"/>
      </bottom>
      <diagonal/>
    </border>
    <border>
      <left style="thick">
        <color auto="1"/>
      </left>
      <right/>
      <top/>
      <bottom style="medium">
        <color indexed="55"/>
      </bottom>
      <diagonal/>
    </border>
    <border>
      <left style="thick">
        <color auto="1"/>
      </left>
      <right/>
      <top style="medium">
        <color indexed="55"/>
      </top>
      <bottom style="medium">
        <color indexed="55"/>
      </bottom>
      <diagonal/>
    </border>
    <border>
      <left style="thick">
        <color auto="1"/>
      </left>
      <right/>
      <top style="medium">
        <color indexed="55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medium">
        <color theme="0"/>
      </right>
      <top style="medium">
        <color theme="0"/>
      </top>
      <bottom style="thick">
        <color auto="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ck">
        <color auto="1"/>
      </bottom>
      <diagonal/>
    </border>
    <border>
      <left style="medium">
        <color theme="0"/>
      </left>
      <right style="thick">
        <color auto="1"/>
      </right>
      <top style="medium">
        <color theme="0"/>
      </top>
      <bottom style="thick">
        <color auto="1"/>
      </bottom>
      <diagonal/>
    </border>
    <border>
      <left/>
      <right style="medium">
        <color theme="0"/>
      </right>
      <top style="medium">
        <color theme="0"/>
      </top>
      <bottom style="thick">
        <color auto="1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 style="medium">
        <color theme="1" tint="0.499984740745262"/>
      </right>
      <top/>
      <bottom/>
      <diagonal/>
    </border>
    <border>
      <left style="medium">
        <color indexed="55"/>
      </left>
      <right/>
      <top style="medium">
        <color indexed="55"/>
      </top>
      <bottom style="medium">
        <color indexed="9"/>
      </bottom>
      <diagonal/>
    </border>
    <border>
      <left/>
      <right/>
      <top style="thick">
        <color auto="1"/>
      </top>
      <bottom style="medium">
        <color theme="0"/>
      </bottom>
      <diagonal/>
    </border>
    <border>
      <left/>
      <right/>
      <top style="medium">
        <color indexed="55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medium">
        <color theme="0"/>
      </bottom>
      <diagonal/>
    </border>
    <border>
      <left/>
      <right style="thick">
        <color auto="1"/>
      </right>
      <top style="thick">
        <color auto="1"/>
      </top>
      <bottom style="medium">
        <color theme="0"/>
      </bottom>
      <diagonal/>
    </border>
  </borders>
  <cellStyleXfs count="4">
    <xf numFmtId="0" fontId="0" fillId="0" borderId="0"/>
    <xf numFmtId="0" fontId="131" fillId="0" borderId="0" applyNumberFormat="0" applyFill="0" applyBorder="0" applyAlignment="0" applyProtection="0">
      <alignment vertical="top"/>
      <protection locked="0"/>
    </xf>
    <xf numFmtId="9" fontId="66" fillId="0" borderId="0" applyFont="0" applyFill="0" applyBorder="0" applyAlignment="0" applyProtection="0"/>
    <xf numFmtId="43" fontId="143" fillId="0" borderId="0" applyFont="0" applyFill="0" applyBorder="0" applyAlignment="0" applyProtection="0"/>
  </cellStyleXfs>
  <cellXfs count="184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9" fontId="3" fillId="0" borderId="0" xfId="0" applyNumberFormat="1" applyFont="1" applyAlignment="1">
      <alignment horizontal="center"/>
    </xf>
    <xf numFmtId="0" fontId="4" fillId="0" borderId="0" xfId="0" applyFont="1" applyFill="1"/>
    <xf numFmtId="0" fontId="5" fillId="0" borderId="0" xfId="0" applyFont="1" applyBorder="1" applyAlignment="1">
      <alignment horizontal="center"/>
    </xf>
    <xf numFmtId="9" fontId="0" fillId="0" borderId="0" xfId="0" applyNumberFormat="1" applyAlignment="1">
      <alignment horizontal="center"/>
    </xf>
    <xf numFmtId="0" fontId="8" fillId="0" borderId="0" xfId="0" applyFont="1" applyBorder="1" applyAlignment="1">
      <alignment horizontal="center"/>
    </xf>
    <xf numFmtId="9" fontId="5" fillId="0" borderId="0" xfId="0" applyNumberFormat="1" applyFont="1" applyBorder="1" applyAlignment="1">
      <alignment horizontal="center"/>
    </xf>
    <xf numFmtId="9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/>
    <xf numFmtId="0" fontId="10" fillId="0" borderId="0" xfId="0" applyFont="1"/>
    <xf numFmtId="9" fontId="0" fillId="0" borderId="0" xfId="0" applyNumberFormat="1"/>
    <xf numFmtId="0" fontId="4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/>
    <xf numFmtId="0" fontId="5" fillId="0" borderId="0" xfId="0" applyFont="1" applyBorder="1"/>
    <xf numFmtId="0" fontId="5" fillId="0" borderId="0" xfId="0" applyFont="1"/>
    <xf numFmtId="0" fontId="3" fillId="0" borderId="0" xfId="0" applyFont="1" applyFill="1" applyBorder="1"/>
    <xf numFmtId="0" fontId="0" fillId="2" borderId="0" xfId="0" applyFill="1" applyBorder="1"/>
    <xf numFmtId="0" fontId="15" fillId="0" borderId="0" xfId="0" applyFont="1" applyAlignment="1">
      <alignment horizontal="center"/>
    </xf>
    <xf numFmtId="0" fontId="16" fillId="0" borderId="0" xfId="0" applyFont="1"/>
    <xf numFmtId="0" fontId="5" fillId="0" borderId="0" xfId="0" applyFont="1" applyFill="1" applyBorder="1"/>
    <xf numFmtId="0" fontId="14" fillId="0" borderId="0" xfId="0" applyFont="1"/>
    <xf numFmtId="1" fontId="0" fillId="0" borderId="0" xfId="0" applyNumberFormat="1"/>
    <xf numFmtId="0" fontId="7" fillId="0" borderId="0" xfId="0" applyFont="1" applyBorder="1"/>
    <xf numFmtId="0" fontId="3" fillId="0" borderId="0" xfId="0" applyFont="1" applyFill="1" applyBorder="1" applyAlignment="1"/>
    <xf numFmtId="1" fontId="3" fillId="0" borderId="0" xfId="0" applyNumberFormat="1" applyFont="1" applyFill="1" applyBorder="1" applyAlignment="1"/>
    <xf numFmtId="0" fontId="3" fillId="0" borderId="0" xfId="0" applyFont="1" applyBorder="1"/>
    <xf numFmtId="9" fontId="18" fillId="0" borderId="0" xfId="0" applyNumberFormat="1" applyFont="1"/>
    <xf numFmtId="0" fontId="17" fillId="0" borderId="0" xfId="0" applyFont="1"/>
    <xf numFmtId="0" fontId="19" fillId="0" borderId="0" xfId="0" applyFont="1" applyFill="1"/>
    <xf numFmtId="9" fontId="17" fillId="0" borderId="0" xfId="0" applyNumberFormat="1" applyFont="1"/>
    <xf numFmtId="0" fontId="16" fillId="0" borderId="0" xfId="0" applyFont="1" applyAlignment="1"/>
    <xf numFmtId="0" fontId="8" fillId="0" borderId="0" xfId="0" applyFont="1" applyFill="1" applyBorder="1"/>
    <xf numFmtId="9" fontId="8" fillId="0" borderId="0" xfId="0" applyNumberFormat="1" applyFont="1" applyFill="1" applyBorder="1"/>
    <xf numFmtId="9" fontId="8" fillId="0" borderId="0" xfId="0" applyNumberFormat="1" applyFont="1"/>
    <xf numFmtId="9" fontId="7" fillId="0" borderId="0" xfId="0" applyNumberFormat="1" applyFont="1"/>
    <xf numFmtId="1" fontId="5" fillId="0" borderId="0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0" xfId="0" applyFont="1" applyBorder="1"/>
    <xf numFmtId="9" fontId="4" fillId="0" borderId="0" xfId="0" applyNumberFormat="1" applyFont="1" applyBorder="1"/>
    <xf numFmtId="0" fontId="11" fillId="0" borderId="0" xfId="0" applyNumberFormat="1" applyFont="1" applyFill="1" applyBorder="1"/>
    <xf numFmtId="0" fontId="4" fillId="0" borderId="0" xfId="0" applyNumberFormat="1" applyFont="1" applyFill="1" applyBorder="1"/>
    <xf numFmtId="9" fontId="0" fillId="0" borderId="0" xfId="0" applyNumberFormat="1" applyBorder="1"/>
    <xf numFmtId="0" fontId="4" fillId="0" borderId="1" xfId="0" applyFont="1" applyBorder="1"/>
    <xf numFmtId="0" fontId="12" fillId="0" borderId="0" xfId="0" applyFont="1"/>
    <xf numFmtId="0" fontId="11" fillId="0" borderId="0" xfId="0" applyFont="1" applyFill="1" applyBorder="1"/>
    <xf numFmtId="0" fontId="4" fillId="0" borderId="0" xfId="0" applyFont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12" fillId="0" borderId="0" xfId="0" applyFont="1" applyFill="1"/>
    <xf numFmtId="0" fontId="12" fillId="0" borderId="0" xfId="0" applyFont="1" applyBorder="1"/>
    <xf numFmtId="0" fontId="4" fillId="0" borderId="0" xfId="0" applyNumberFormat="1" applyFont="1" applyBorder="1"/>
    <xf numFmtId="0" fontId="21" fillId="0" borderId="0" xfId="0" applyFont="1"/>
    <xf numFmtId="0" fontId="0" fillId="0" borderId="0" xfId="0" applyNumberFormat="1" applyBorder="1"/>
    <xf numFmtId="0" fontId="12" fillId="0" borderId="0" xfId="0" applyNumberFormat="1" applyFont="1" applyFill="1"/>
    <xf numFmtId="9" fontId="2" fillId="0" borderId="0" xfId="0" applyNumberFormat="1" applyFont="1" applyFill="1"/>
    <xf numFmtId="0" fontId="4" fillId="0" borderId="0" xfId="0" applyFont="1" applyFill="1" applyBorder="1"/>
    <xf numFmtId="1" fontId="11" fillId="0" borderId="0" xfId="0" applyNumberFormat="1" applyFont="1" applyFill="1" applyBorder="1"/>
    <xf numFmtId="0" fontId="0" fillId="0" borderId="0" xfId="0" applyFill="1" applyBorder="1"/>
    <xf numFmtId="0" fontId="21" fillId="0" borderId="0" xfId="0" applyNumberFormat="1" applyFont="1" applyFill="1" applyBorder="1"/>
    <xf numFmtId="0" fontId="4" fillId="0" borderId="0" xfId="0" applyFont="1"/>
    <xf numFmtId="0" fontId="2" fillId="0" borderId="0" xfId="0" applyFont="1"/>
    <xf numFmtId="0" fontId="12" fillId="0" borderId="0" xfId="0" applyFont="1" applyAlignment="1"/>
    <xf numFmtId="0" fontId="23" fillId="0" borderId="0" xfId="0" applyFont="1"/>
    <xf numFmtId="0" fontId="2" fillId="0" borderId="0" xfId="0" applyFont="1" applyBorder="1"/>
    <xf numFmtId="0" fontId="22" fillId="0" borderId="0" xfId="0" applyFont="1" applyAlignment="1">
      <alignment horizontal="center"/>
    </xf>
    <xf numFmtId="0" fontId="22" fillId="0" borderId="0" xfId="0" applyNumberFormat="1" applyFont="1" applyFill="1" applyBorder="1"/>
    <xf numFmtId="0" fontId="22" fillId="0" borderId="0" xfId="0" applyFont="1" applyFill="1" applyBorder="1"/>
    <xf numFmtId="0" fontId="11" fillId="0" borderId="0" xfId="0" applyFont="1" applyFill="1"/>
    <xf numFmtId="9" fontId="4" fillId="0" borderId="0" xfId="0" applyNumberFormat="1" applyFont="1"/>
    <xf numFmtId="9" fontId="4" fillId="0" borderId="0" xfId="0" applyNumberFormat="1" applyFont="1" applyFill="1"/>
    <xf numFmtId="0" fontId="25" fillId="0" borderId="0" xfId="0" applyFont="1"/>
    <xf numFmtId="0" fontId="25" fillId="0" borderId="0" xfId="0" applyFont="1" applyAlignment="1">
      <alignment horizontal="center"/>
    </xf>
    <xf numFmtId="0" fontId="26" fillId="3" borderId="2" xfId="0" applyFont="1" applyFill="1" applyBorder="1" applyAlignment="1"/>
    <xf numFmtId="0" fontId="26" fillId="3" borderId="3" xfId="0" applyFont="1" applyFill="1" applyBorder="1" applyAlignment="1"/>
    <xf numFmtId="0" fontId="26" fillId="4" borderId="2" xfId="0" applyFont="1" applyFill="1" applyBorder="1" applyAlignment="1">
      <alignment horizontal="center" vertical="center"/>
    </xf>
    <xf numFmtId="0" fontId="30" fillId="3" borderId="4" xfId="0" applyFont="1" applyFill="1" applyBorder="1" applyAlignment="1">
      <alignment horizontal="center" vertical="center"/>
    </xf>
    <xf numFmtId="1" fontId="31" fillId="3" borderId="4" xfId="0" applyNumberFormat="1" applyFont="1" applyFill="1" applyBorder="1" applyAlignment="1">
      <alignment horizontal="center" vertical="center"/>
    </xf>
    <xf numFmtId="0" fontId="29" fillId="4" borderId="4" xfId="0" applyFont="1" applyFill="1" applyBorder="1" applyAlignment="1">
      <alignment horizontal="center" vertical="center"/>
    </xf>
    <xf numFmtId="1" fontId="24" fillId="4" borderId="5" xfId="0" applyNumberFormat="1" applyFont="1" applyFill="1" applyBorder="1" applyAlignment="1">
      <alignment horizontal="center" vertical="center"/>
    </xf>
    <xf numFmtId="0" fontId="26" fillId="4" borderId="6" xfId="0" applyFont="1" applyFill="1" applyBorder="1" applyAlignment="1">
      <alignment horizontal="center" vertical="center"/>
    </xf>
    <xf numFmtId="1" fontId="31" fillId="3" borderId="3" xfId="0" applyNumberFormat="1" applyFont="1" applyFill="1" applyBorder="1" applyAlignment="1">
      <alignment horizontal="center" vertical="center"/>
    </xf>
    <xf numFmtId="9" fontId="31" fillId="3" borderId="3" xfId="0" applyNumberFormat="1" applyFont="1" applyFill="1" applyBorder="1" applyAlignment="1">
      <alignment horizontal="center" vertical="center"/>
    </xf>
    <xf numFmtId="1" fontId="24" fillId="0" borderId="7" xfId="0" applyNumberFormat="1" applyFont="1" applyFill="1" applyBorder="1" applyAlignment="1">
      <alignment horizontal="center" vertical="center"/>
    </xf>
    <xf numFmtId="9" fontId="24" fillId="0" borderId="7" xfId="0" applyNumberFormat="1" applyFont="1" applyFill="1" applyBorder="1" applyAlignment="1">
      <alignment horizontal="center" vertical="center"/>
    </xf>
    <xf numFmtId="0" fontId="32" fillId="0" borderId="5" xfId="0" applyFont="1" applyFill="1" applyBorder="1" applyAlignment="1">
      <alignment horizontal="center" vertical="center"/>
    </xf>
    <xf numFmtId="0" fontId="32" fillId="4" borderId="5" xfId="0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horizontal="center" vertical="center"/>
    </xf>
    <xf numFmtId="0" fontId="28" fillId="4" borderId="2" xfId="0" applyFont="1" applyFill="1" applyBorder="1" applyAlignment="1">
      <alignment horizontal="center" vertical="center"/>
    </xf>
    <xf numFmtId="9" fontId="26" fillId="4" borderId="2" xfId="0" applyNumberFormat="1" applyFont="1" applyFill="1" applyBorder="1" applyAlignment="1">
      <alignment horizontal="center" vertical="center"/>
    </xf>
    <xf numFmtId="9" fontId="33" fillId="3" borderId="2" xfId="0" applyNumberFormat="1" applyFont="1" applyFill="1" applyBorder="1" applyAlignment="1">
      <alignment horizontal="center" vertical="center"/>
    </xf>
    <xf numFmtId="0" fontId="24" fillId="0" borderId="7" xfId="0" applyNumberFormat="1" applyFont="1" applyFill="1" applyBorder="1" applyAlignment="1">
      <alignment horizontal="center" vertical="center"/>
    </xf>
    <xf numFmtId="0" fontId="28" fillId="4" borderId="2" xfId="0" applyNumberFormat="1" applyFont="1" applyFill="1" applyBorder="1" applyAlignment="1">
      <alignment horizontal="center" vertical="center"/>
    </xf>
    <xf numFmtId="0" fontId="34" fillId="0" borderId="0" xfId="0" applyFont="1" applyBorder="1" applyAlignment="1">
      <alignment horizontal="center"/>
    </xf>
    <xf numFmtId="0" fontId="34" fillId="0" borderId="8" xfId="0" applyFont="1" applyBorder="1" applyAlignment="1">
      <alignment horizontal="center"/>
    </xf>
    <xf numFmtId="0" fontId="26" fillId="3" borderId="2" xfId="0" applyFont="1" applyFill="1" applyBorder="1" applyAlignment="1">
      <alignment horizontal="center" vertical="center"/>
    </xf>
    <xf numFmtId="0" fontId="26" fillId="3" borderId="6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0" fontId="25" fillId="0" borderId="0" xfId="0" applyFont="1" applyBorder="1" applyAlignment="1">
      <alignment horizontal="center"/>
    </xf>
    <xf numFmtId="0" fontId="25" fillId="0" borderId="9" xfId="0" applyFont="1" applyBorder="1" applyAlignment="1">
      <alignment horizontal="center"/>
    </xf>
    <xf numFmtId="0" fontId="25" fillId="3" borderId="2" xfId="0" applyFont="1" applyFill="1" applyBorder="1" applyAlignment="1">
      <alignment horizontal="center"/>
    </xf>
    <xf numFmtId="0" fontId="25" fillId="3" borderId="5" xfId="0" applyFont="1" applyFill="1" applyBorder="1" applyAlignment="1">
      <alignment horizontal="center"/>
    </xf>
    <xf numFmtId="9" fontId="25" fillId="4" borderId="4" xfId="0" applyNumberFormat="1" applyFont="1" applyFill="1" applyBorder="1" applyAlignment="1">
      <alignment horizontal="center"/>
    </xf>
    <xf numFmtId="9" fontId="31" fillId="3" borderId="10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wrapText="1"/>
    </xf>
    <xf numFmtId="0" fontId="38" fillId="0" borderId="0" xfId="0" applyFont="1" applyAlignment="1">
      <alignment horizontal="center" readingOrder="1"/>
    </xf>
    <xf numFmtId="0" fontId="25" fillId="0" borderId="0" xfId="0" applyFont="1" applyFill="1" applyAlignment="1">
      <alignment horizontal="center"/>
    </xf>
    <xf numFmtId="0" fontId="25" fillId="0" borderId="7" xfId="0" applyFont="1" applyFill="1" applyBorder="1" applyAlignment="1">
      <alignment horizontal="center"/>
    </xf>
    <xf numFmtId="9" fontId="25" fillId="4" borderId="7" xfId="0" applyNumberFormat="1" applyFont="1" applyFill="1" applyBorder="1" applyAlignment="1">
      <alignment horizontal="center"/>
    </xf>
    <xf numFmtId="0" fontId="33" fillId="3" borderId="5" xfId="0" applyFont="1" applyFill="1" applyBorder="1" applyAlignment="1">
      <alignment horizontal="center"/>
    </xf>
    <xf numFmtId="0" fontId="33" fillId="4" borderId="7" xfId="0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9" fontId="24" fillId="0" borderId="7" xfId="0" applyNumberFormat="1" applyFont="1" applyBorder="1" applyAlignment="1">
      <alignment horizontal="center"/>
    </xf>
    <xf numFmtId="9" fontId="25" fillId="4" borderId="12" xfId="0" applyNumberFormat="1" applyFont="1" applyFill="1" applyBorder="1" applyAlignment="1">
      <alignment horizontal="center"/>
    </xf>
    <xf numFmtId="0" fontId="33" fillId="4" borderId="13" xfId="0" applyFont="1" applyFill="1" applyBorder="1" applyAlignment="1">
      <alignment horizontal="center"/>
    </xf>
    <xf numFmtId="9" fontId="33" fillId="4" borderId="4" xfId="0" applyNumberFormat="1" applyFont="1" applyFill="1" applyBorder="1" applyAlignment="1">
      <alignment horizontal="center"/>
    </xf>
    <xf numFmtId="0" fontId="25" fillId="3" borderId="14" xfId="0" applyFont="1" applyFill="1" applyBorder="1" applyAlignment="1">
      <alignment horizontal="center"/>
    </xf>
    <xf numFmtId="0" fontId="0" fillId="0" borderId="15" xfId="0" applyBorder="1"/>
    <xf numFmtId="0" fontId="25" fillId="0" borderId="15" xfId="0" applyFont="1" applyBorder="1" applyAlignment="1">
      <alignment horizontal="center"/>
    </xf>
    <xf numFmtId="9" fontId="25" fillId="0" borderId="15" xfId="0" applyNumberFormat="1" applyFont="1" applyBorder="1" applyAlignment="1">
      <alignment horizontal="center"/>
    </xf>
    <xf numFmtId="0" fontId="25" fillId="0" borderId="15" xfId="0" applyFont="1" applyBorder="1"/>
    <xf numFmtId="9" fontId="15" fillId="0" borderId="0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9" fontId="1" fillId="0" borderId="0" xfId="0" applyNumberFormat="1" applyFont="1" applyAlignment="1">
      <alignment horizontal="center"/>
    </xf>
    <xf numFmtId="0" fontId="0" fillId="0" borderId="9" xfId="0" applyBorder="1"/>
    <xf numFmtId="0" fontId="42" fillId="2" borderId="0" xfId="0" applyFont="1" applyFill="1" applyBorder="1" applyAlignment="1">
      <alignment horizontal="right" vertical="center"/>
    </xf>
    <xf numFmtId="0" fontId="46" fillId="2" borderId="1" xfId="0" applyFont="1" applyFill="1" applyBorder="1" applyAlignment="1">
      <alignment horizontal="center" vertical="center"/>
    </xf>
    <xf numFmtId="0" fontId="46" fillId="0" borderId="1" xfId="0" applyFont="1" applyBorder="1" applyAlignment="1">
      <alignment horizontal="center" vertical="center" wrapText="1"/>
    </xf>
    <xf numFmtId="0" fontId="46" fillId="0" borderId="16" xfId="0" applyFont="1" applyBorder="1" applyAlignment="1">
      <alignment horizontal="center"/>
    </xf>
    <xf numFmtId="0" fontId="47" fillId="0" borderId="15" xfId="0" applyFont="1" applyBorder="1" applyAlignment="1">
      <alignment horizontal="center" wrapText="1"/>
    </xf>
    <xf numFmtId="0" fontId="47" fillId="4" borderId="15" xfId="0" applyFont="1" applyFill="1" applyBorder="1" applyAlignment="1">
      <alignment horizontal="center" vertical="center" wrapText="1"/>
    </xf>
    <xf numFmtId="0" fontId="47" fillId="3" borderId="15" xfId="0" applyFont="1" applyFill="1" applyBorder="1" applyAlignment="1">
      <alignment horizontal="center" vertical="center" wrapText="1"/>
    </xf>
    <xf numFmtId="0" fontId="25" fillId="0" borderId="16" xfId="0" applyFont="1" applyBorder="1"/>
    <xf numFmtId="0" fontId="33" fillId="0" borderId="17" xfId="0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51" fillId="5" borderId="15" xfId="0" applyFont="1" applyFill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15" xfId="0" applyFont="1" applyBorder="1"/>
    <xf numFmtId="0" fontId="33" fillId="0" borderId="0" xfId="0" applyFont="1" applyAlignment="1">
      <alignment horizontal="center" wrapText="1"/>
    </xf>
    <xf numFmtId="0" fontId="25" fillId="0" borderId="0" xfId="0" applyFont="1" applyBorder="1"/>
    <xf numFmtId="0" fontId="52" fillId="0" borderId="0" xfId="0" applyFont="1" applyFill="1" applyBorder="1" applyAlignment="1">
      <alignment horizontal="center"/>
    </xf>
    <xf numFmtId="0" fontId="25" fillId="0" borderId="16" xfId="0" applyFont="1" applyBorder="1" applyAlignment="1">
      <alignment horizontal="center"/>
    </xf>
    <xf numFmtId="0" fontId="52" fillId="2" borderId="0" xfId="0" applyFont="1" applyFill="1" applyBorder="1" applyAlignment="1">
      <alignment horizontal="center"/>
    </xf>
    <xf numFmtId="0" fontId="25" fillId="2" borderId="0" xfId="0" applyFont="1" applyFill="1" applyBorder="1" applyAlignment="1">
      <alignment horizontal="center"/>
    </xf>
    <xf numFmtId="0" fontId="25" fillId="0" borderId="20" xfId="0" applyFont="1" applyBorder="1" applyAlignment="1">
      <alignment horizontal="center"/>
    </xf>
    <xf numFmtId="0" fontId="33" fillId="0" borderId="0" xfId="0" applyFont="1" applyBorder="1" applyAlignment="1">
      <alignment horizontal="center" vertical="center" wrapText="1"/>
    </xf>
    <xf numFmtId="0" fontId="25" fillId="0" borderId="15" xfId="0" applyFont="1" applyBorder="1" applyAlignment="1">
      <alignment horizontal="center" wrapText="1"/>
    </xf>
    <xf numFmtId="0" fontId="29" fillId="0" borderId="0" xfId="0" applyFont="1" applyBorder="1" applyAlignment="1">
      <alignment horizontal="center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9" fontId="56" fillId="4" borderId="4" xfId="0" applyNumberFormat="1" applyFont="1" applyFill="1" applyBorder="1" applyAlignment="1">
      <alignment horizontal="center" vertical="center"/>
    </xf>
    <xf numFmtId="0" fontId="56" fillId="0" borderId="0" xfId="0" applyFont="1"/>
    <xf numFmtId="0" fontId="60" fillId="0" borderId="0" xfId="0" applyFont="1" applyAlignment="1"/>
    <xf numFmtId="0" fontId="61" fillId="0" borderId="0" xfId="0" applyFont="1" applyAlignment="1"/>
    <xf numFmtId="0" fontId="62" fillId="0" borderId="0" xfId="0" applyFont="1" applyAlignment="1"/>
    <xf numFmtId="0" fontId="57" fillId="0" borderId="0" xfId="0" applyFont="1" applyAlignment="1"/>
    <xf numFmtId="0" fontId="57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4" fillId="0" borderId="0" xfId="0" applyFont="1" applyAlignment="1"/>
    <xf numFmtId="0" fontId="63" fillId="3" borderId="4" xfId="0" applyFont="1" applyFill="1" applyBorder="1" applyAlignment="1">
      <alignment horizontal="center" vertical="center"/>
    </xf>
    <xf numFmtId="0" fontId="33" fillId="4" borderId="5" xfId="0" applyFont="1" applyFill="1" applyBorder="1" applyAlignment="1">
      <alignment horizontal="center" vertical="center"/>
    </xf>
    <xf numFmtId="9" fontId="58" fillId="0" borderId="7" xfId="0" applyNumberFormat="1" applyFont="1" applyBorder="1" applyAlignment="1">
      <alignment horizontal="center"/>
    </xf>
    <xf numFmtId="9" fontId="33" fillId="4" borderId="21" xfId="0" applyNumberFormat="1" applyFont="1" applyFill="1" applyBorder="1" applyAlignment="1">
      <alignment horizontal="center" vertical="center"/>
    </xf>
    <xf numFmtId="9" fontId="33" fillId="4" borderId="3" xfId="0" applyNumberFormat="1" applyFont="1" applyFill="1" applyBorder="1" applyAlignment="1">
      <alignment horizontal="center" vertical="center"/>
    </xf>
    <xf numFmtId="0" fontId="64" fillId="0" borderId="1" xfId="0" applyFont="1" applyBorder="1" applyAlignment="1">
      <alignment horizontal="center"/>
    </xf>
    <xf numFmtId="0" fontId="58" fillId="3" borderId="2" xfId="0" applyFont="1" applyFill="1" applyBorder="1" applyAlignment="1">
      <alignment horizontal="center"/>
    </xf>
    <xf numFmtId="0" fontId="65" fillId="0" borderId="0" xfId="0" applyFont="1"/>
    <xf numFmtId="0" fontId="58" fillId="0" borderId="0" xfId="0" applyFont="1" applyAlignment="1">
      <alignment horizontal="center"/>
    </xf>
    <xf numFmtId="0" fontId="58" fillId="0" borderId="1" xfId="0" applyFont="1" applyBorder="1" applyAlignment="1">
      <alignment horizontal="center"/>
    </xf>
    <xf numFmtId="0" fontId="58" fillId="0" borderId="0" xfId="0" applyFont="1"/>
    <xf numFmtId="0" fontId="58" fillId="0" borderId="0" xfId="0" applyFont="1" applyAlignment="1"/>
    <xf numFmtId="9" fontId="52" fillId="5" borderId="15" xfId="0" applyNumberFormat="1" applyFont="1" applyFill="1" applyBorder="1" applyAlignment="1">
      <alignment horizontal="center"/>
    </xf>
    <xf numFmtId="9" fontId="53" fillId="5" borderId="15" xfId="0" applyNumberFormat="1" applyFont="1" applyFill="1" applyBorder="1" applyAlignment="1">
      <alignment horizontal="center"/>
    </xf>
    <xf numFmtId="9" fontId="54" fillId="5" borderId="15" xfId="0" applyNumberFormat="1" applyFont="1" applyFill="1" applyBorder="1" applyAlignment="1">
      <alignment horizontal="center"/>
    </xf>
    <xf numFmtId="10" fontId="25" fillId="0" borderId="15" xfId="0" applyNumberFormat="1" applyFont="1" applyBorder="1" applyAlignment="1">
      <alignment horizontal="center" vertical="center"/>
    </xf>
    <xf numFmtId="9" fontId="25" fillId="0" borderId="15" xfId="0" applyNumberFormat="1" applyFont="1" applyBorder="1" applyAlignment="1">
      <alignment horizontal="center" vertical="center"/>
    </xf>
    <xf numFmtId="9" fontId="0" fillId="0" borderId="15" xfId="0" applyNumberFormat="1" applyBorder="1" applyAlignment="1">
      <alignment horizontal="center" vertical="center"/>
    </xf>
    <xf numFmtId="0" fontId="24" fillId="6" borderId="7" xfId="0" applyNumberFormat="1" applyFont="1" applyFill="1" applyBorder="1" applyAlignment="1">
      <alignment horizontal="center" vertical="center"/>
    </xf>
    <xf numFmtId="0" fontId="0" fillId="2" borderId="0" xfId="0" applyFill="1"/>
    <xf numFmtId="0" fontId="25" fillId="0" borderId="27" xfId="0" applyFont="1" applyBorder="1" applyAlignment="1">
      <alignment horizontal="center"/>
    </xf>
    <xf numFmtId="0" fontId="0" fillId="0" borderId="0" xfId="0" applyAlignment="1">
      <alignment horizontal="left"/>
    </xf>
    <xf numFmtId="9" fontId="28" fillId="3" borderId="3" xfId="0" applyNumberFormat="1" applyFont="1" applyFill="1" applyBorder="1" applyAlignment="1">
      <alignment horizontal="center" vertical="center"/>
    </xf>
    <xf numFmtId="1" fontId="24" fillId="2" borderId="7" xfId="0" applyNumberFormat="1" applyFont="1" applyFill="1" applyBorder="1" applyAlignment="1">
      <alignment horizontal="center" vertical="center"/>
    </xf>
    <xf numFmtId="9" fontId="24" fillId="2" borderId="7" xfId="0" applyNumberFormat="1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/>
    </xf>
    <xf numFmtId="0" fontId="25" fillId="0" borderId="14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9" fontId="29" fillId="3" borderId="23" xfId="0" applyNumberFormat="1" applyFont="1" applyFill="1" applyBorder="1" applyAlignment="1">
      <alignment horizontal="center"/>
    </xf>
    <xf numFmtId="9" fontId="29" fillId="4" borderId="23" xfId="0" applyNumberFormat="1" applyFont="1" applyFill="1" applyBorder="1" applyAlignment="1">
      <alignment horizontal="center"/>
    </xf>
    <xf numFmtId="0" fontId="24" fillId="3" borderId="2" xfId="0" applyFont="1" applyFill="1" applyBorder="1" applyAlignment="1">
      <alignment horizontal="center"/>
    </xf>
    <xf numFmtId="9" fontId="58" fillId="0" borderId="7" xfId="0" applyNumberFormat="1" applyFont="1" applyFill="1" applyBorder="1" applyAlignment="1">
      <alignment horizontal="center"/>
    </xf>
    <xf numFmtId="0" fontId="28" fillId="2" borderId="15" xfId="0" applyFont="1" applyFill="1" applyBorder="1" applyAlignment="1">
      <alignment horizontal="center" vertical="center" wrapText="1"/>
    </xf>
    <xf numFmtId="0" fontId="25" fillId="0" borderId="15" xfId="0" applyFont="1" applyBorder="1" applyAlignment="1">
      <alignment horizontal="left"/>
    </xf>
    <xf numFmtId="0" fontId="28" fillId="0" borderId="0" xfId="0" applyFont="1" applyAlignment="1">
      <alignment horizontal="center"/>
    </xf>
    <xf numFmtId="9" fontId="24" fillId="2" borderId="7" xfId="0" applyNumberFormat="1" applyFont="1" applyFill="1" applyBorder="1" applyAlignment="1">
      <alignment horizontal="center"/>
    </xf>
    <xf numFmtId="0" fontId="43" fillId="0" borderId="0" xfId="0" applyFont="1" applyBorder="1" applyAlignment="1">
      <alignment horizontal="center" wrapText="1"/>
    </xf>
    <xf numFmtId="0" fontId="43" fillId="0" borderId="9" xfId="0" applyFont="1" applyBorder="1" applyAlignment="1">
      <alignment horizontal="center" wrapText="1"/>
    </xf>
    <xf numFmtId="0" fontId="44" fillId="0" borderId="0" xfId="0" applyFont="1" applyBorder="1" applyAlignment="1">
      <alignment wrapText="1"/>
    </xf>
    <xf numFmtId="0" fontId="44" fillId="0" borderId="9" xfId="0" applyFont="1" applyBorder="1" applyAlignment="1">
      <alignment wrapText="1"/>
    </xf>
    <xf numFmtId="0" fontId="31" fillId="8" borderId="17" xfId="0" applyFont="1" applyFill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58" fillId="0" borderId="16" xfId="0" applyFont="1" applyBorder="1" applyAlignment="1">
      <alignment horizontal="center"/>
    </xf>
    <xf numFmtId="0" fontId="58" fillId="3" borderId="15" xfId="0" applyFont="1" applyFill="1" applyBorder="1" applyAlignment="1">
      <alignment horizontal="center"/>
    </xf>
    <xf numFmtId="0" fontId="58" fillId="0" borderId="15" xfId="0" applyFont="1" applyBorder="1" applyAlignment="1">
      <alignment horizontal="center"/>
    </xf>
    <xf numFmtId="0" fontId="58" fillId="0" borderId="27" xfId="0" applyFont="1" applyBorder="1" applyAlignment="1">
      <alignment horizontal="center"/>
    </xf>
    <xf numFmtId="0" fontId="58" fillId="3" borderId="27" xfId="0" applyFont="1" applyFill="1" applyBorder="1" applyAlignment="1">
      <alignment horizontal="center"/>
    </xf>
    <xf numFmtId="0" fontId="28" fillId="2" borderId="18" xfId="0" applyFont="1" applyFill="1" applyBorder="1" applyAlignment="1">
      <alignment horizontal="center" vertical="center" wrapText="1"/>
    </xf>
    <xf numFmtId="0" fontId="58" fillId="0" borderId="0" xfId="0" applyFont="1" applyBorder="1" applyAlignment="1">
      <alignment horizontal="center"/>
    </xf>
    <xf numFmtId="0" fontId="58" fillId="2" borderId="0" xfId="0" applyFont="1" applyFill="1" applyBorder="1" applyAlignment="1">
      <alignment horizontal="center"/>
    </xf>
    <xf numFmtId="0" fontId="33" fillId="0" borderId="0" xfId="0" applyFont="1" applyBorder="1" applyAlignment="1">
      <alignment horizontal="center"/>
    </xf>
    <xf numFmtId="164" fontId="58" fillId="2" borderId="0" xfId="2" applyNumberFormat="1" applyFont="1" applyFill="1" applyBorder="1" applyAlignment="1">
      <alignment horizontal="center"/>
    </xf>
    <xf numFmtId="164" fontId="33" fillId="2" borderId="0" xfId="2" applyNumberFormat="1" applyFont="1" applyFill="1" applyBorder="1" applyAlignment="1">
      <alignment horizontal="center"/>
    </xf>
    <xf numFmtId="0" fontId="25" fillId="0" borderId="0" xfId="0" applyFont="1" applyBorder="1" applyAlignment="1">
      <alignment horizontal="center" wrapText="1"/>
    </xf>
    <xf numFmtId="164" fontId="58" fillId="0" borderId="0" xfId="0" applyNumberFormat="1" applyFont="1" applyBorder="1" applyAlignment="1">
      <alignment horizontal="center"/>
    </xf>
    <xf numFmtId="0" fontId="41" fillId="0" borderId="0" xfId="0" applyFont="1" applyBorder="1" applyAlignment="1">
      <alignment horizontal="center" wrapText="1"/>
    </xf>
    <xf numFmtId="0" fontId="0" fillId="4" borderId="0" xfId="0" applyFill="1"/>
    <xf numFmtId="0" fontId="54" fillId="0" borderId="0" xfId="0" applyFont="1" applyAlignment="1">
      <alignment horizontal="center"/>
    </xf>
    <xf numFmtId="0" fontId="28" fillId="0" borderId="0" xfId="0" applyFont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 vertical="center" wrapText="1"/>
    </xf>
    <xf numFmtId="0" fontId="31" fillId="0" borderId="15" xfId="0" applyFont="1" applyBorder="1" applyAlignment="1">
      <alignment horizontal="center" wrapText="1"/>
    </xf>
    <xf numFmtId="9" fontId="56" fillId="4" borderId="2" xfId="0" applyNumberFormat="1" applyFont="1" applyFill="1" applyBorder="1" applyAlignment="1">
      <alignment horizontal="center" vertical="center"/>
    </xf>
    <xf numFmtId="0" fontId="48" fillId="0" borderId="0" xfId="0" applyFont="1"/>
    <xf numFmtId="0" fontId="71" fillId="0" borderId="0" xfId="0" applyFont="1"/>
    <xf numFmtId="0" fontId="25" fillId="4" borderId="4" xfId="0" applyFont="1" applyFill="1" applyBorder="1" applyAlignment="1">
      <alignment horizontal="center" vertical="center" wrapText="1"/>
    </xf>
    <xf numFmtId="1" fontId="34" fillId="3" borderId="5" xfId="0" applyNumberFormat="1" applyFont="1" applyFill="1" applyBorder="1" applyAlignment="1">
      <alignment horizontal="center" vertical="center"/>
    </xf>
    <xf numFmtId="0" fontId="25" fillId="6" borderId="15" xfId="0" applyFont="1" applyFill="1" applyBorder="1" applyAlignment="1">
      <alignment horizontal="center"/>
    </xf>
    <xf numFmtId="0" fontId="46" fillId="9" borderId="15" xfId="0" applyFont="1" applyFill="1" applyBorder="1" applyAlignment="1">
      <alignment horizontal="center" vertical="center" wrapText="1"/>
    </xf>
    <xf numFmtId="0" fontId="46" fillId="5" borderId="15" xfId="0" applyFont="1" applyFill="1" applyBorder="1" applyAlignment="1">
      <alignment horizontal="center" vertical="center" wrapText="1"/>
    </xf>
    <xf numFmtId="0" fontId="72" fillId="0" borderId="0" xfId="0" applyFont="1" applyAlignment="1">
      <alignment horizontal="center"/>
    </xf>
    <xf numFmtId="0" fontId="73" fillId="0" borderId="0" xfId="0" applyFont="1"/>
    <xf numFmtId="0" fontId="73" fillId="0" borderId="0" xfId="0" applyFont="1" applyAlignment="1">
      <alignment horizontal="center" vertical="center"/>
    </xf>
    <xf numFmtId="0" fontId="74" fillId="0" borderId="0" xfId="0" applyFont="1" applyAlignment="1">
      <alignment horizontal="center" vertical="center"/>
    </xf>
    <xf numFmtId="0" fontId="73" fillId="0" borderId="0" xfId="0" applyFont="1" applyAlignment="1">
      <alignment vertical="center"/>
    </xf>
    <xf numFmtId="0" fontId="12" fillId="2" borderId="0" xfId="0" applyFont="1" applyFill="1"/>
    <xf numFmtId="0" fontId="33" fillId="2" borderId="0" xfId="0" applyFont="1" applyFill="1" applyBorder="1" applyAlignment="1">
      <alignment horizontal="center"/>
    </xf>
    <xf numFmtId="0" fontId="1" fillId="2" borderId="0" xfId="0" applyFont="1" applyFill="1"/>
    <xf numFmtId="0" fontId="75" fillId="0" borderId="0" xfId="0" applyFont="1"/>
    <xf numFmtId="0" fontId="76" fillId="0" borderId="0" xfId="0" applyFont="1"/>
    <xf numFmtId="0" fontId="76" fillId="0" borderId="0" xfId="0" applyFont="1" applyAlignment="1">
      <alignment horizontal="center"/>
    </xf>
    <xf numFmtId="0" fontId="77" fillId="0" borderId="0" xfId="0" applyFont="1" applyAlignment="1">
      <alignment horizontal="center"/>
    </xf>
    <xf numFmtId="0" fontId="79" fillId="0" borderId="0" xfId="0" applyFont="1" applyAlignment="1">
      <alignment horizontal="center"/>
    </xf>
    <xf numFmtId="0" fontId="45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9" fontId="58" fillId="2" borderId="7" xfId="0" applyNumberFormat="1" applyFont="1" applyFill="1" applyBorder="1" applyAlignment="1">
      <alignment horizontal="center"/>
    </xf>
    <xf numFmtId="0" fontId="26" fillId="3" borderId="4" xfId="0" applyFont="1" applyFill="1" applyBorder="1" applyAlignment="1">
      <alignment horizontal="center"/>
    </xf>
    <xf numFmtId="0" fontId="25" fillId="0" borderId="8" xfId="0" applyFont="1" applyBorder="1" applyAlignment="1">
      <alignment horizontal="center"/>
    </xf>
    <xf numFmtId="0" fontId="0" fillId="0" borderId="33" xfId="0" applyBorder="1" applyAlignment="1">
      <alignment horizontal="center"/>
    </xf>
    <xf numFmtId="0" fontId="26" fillId="0" borderId="0" xfId="0" applyNumberFormat="1" applyFont="1" applyFill="1" applyBorder="1" applyAlignment="1">
      <alignment horizontal="center" vertical="center"/>
    </xf>
    <xf numFmtId="9" fontId="26" fillId="0" borderId="0" xfId="0" applyNumberFormat="1" applyFont="1" applyFill="1" applyBorder="1" applyAlignment="1">
      <alignment horizontal="center" vertical="center"/>
    </xf>
    <xf numFmtId="1" fontId="31" fillId="0" borderId="0" xfId="0" applyNumberFormat="1" applyFont="1" applyFill="1" applyBorder="1" applyAlignment="1">
      <alignment horizontal="center" vertical="center"/>
    </xf>
    <xf numFmtId="9" fontId="31" fillId="0" borderId="0" xfId="0" applyNumberFormat="1" applyFont="1" applyFill="1" applyBorder="1" applyAlignment="1">
      <alignment horizontal="center" vertical="center"/>
    </xf>
    <xf numFmtId="9" fontId="24" fillId="3" borderId="7" xfId="0" applyNumberFormat="1" applyFont="1" applyFill="1" applyBorder="1" applyAlignment="1">
      <alignment horizontal="center"/>
    </xf>
    <xf numFmtId="0" fontId="70" fillId="4" borderId="33" xfId="0" applyFont="1" applyFill="1" applyBorder="1" applyAlignment="1">
      <alignment horizontal="center" vertical="center" wrapText="1"/>
    </xf>
    <xf numFmtId="0" fontId="70" fillId="4" borderId="33" xfId="0" applyFont="1" applyFill="1" applyBorder="1" applyAlignment="1">
      <alignment horizontal="center" vertical="center"/>
    </xf>
    <xf numFmtId="0" fontId="70" fillId="3" borderId="33" xfId="0" applyFont="1" applyFill="1" applyBorder="1" applyAlignment="1">
      <alignment horizontal="center" vertical="center"/>
    </xf>
    <xf numFmtId="0" fontId="71" fillId="3" borderId="2" xfId="0" applyFont="1" applyFill="1" applyBorder="1" applyAlignment="1">
      <alignment horizontal="center" vertical="center" wrapText="1"/>
    </xf>
    <xf numFmtId="1" fontId="24" fillId="0" borderId="36" xfId="0" applyNumberFormat="1" applyFont="1" applyBorder="1" applyAlignment="1">
      <alignment horizontal="center" vertical="center"/>
    </xf>
    <xf numFmtId="1" fontId="71" fillId="0" borderId="36" xfId="0" applyNumberFormat="1" applyFont="1" applyFill="1" applyBorder="1" applyAlignment="1">
      <alignment horizontal="center" vertical="center"/>
    </xf>
    <xf numFmtId="0" fontId="71" fillId="0" borderId="36" xfId="0" applyFont="1" applyFill="1" applyBorder="1" applyAlignment="1">
      <alignment horizontal="center" vertical="center"/>
    </xf>
    <xf numFmtId="1" fontId="71" fillId="0" borderId="36" xfId="0" applyNumberFormat="1" applyFont="1" applyBorder="1" applyAlignment="1">
      <alignment horizontal="center" vertical="center"/>
    </xf>
    <xf numFmtId="1" fontId="71" fillId="4" borderId="37" xfId="0" applyNumberFormat="1" applyFont="1" applyFill="1" applyBorder="1" applyAlignment="1">
      <alignment horizontal="center" vertical="center"/>
    </xf>
    <xf numFmtId="9" fontId="71" fillId="4" borderId="38" xfId="0" applyNumberFormat="1" applyFont="1" applyFill="1" applyBorder="1" applyAlignment="1">
      <alignment horizontal="center" vertical="center"/>
    </xf>
    <xf numFmtId="1" fontId="71" fillId="4" borderId="38" xfId="0" applyNumberFormat="1" applyFont="1" applyFill="1" applyBorder="1" applyAlignment="1">
      <alignment horizontal="center" vertical="center"/>
    </xf>
    <xf numFmtId="1" fontId="71" fillId="4" borderId="39" xfId="0" applyNumberFormat="1" applyFont="1" applyFill="1" applyBorder="1" applyAlignment="1">
      <alignment horizontal="center" vertical="center"/>
    </xf>
    <xf numFmtId="1" fontId="71" fillId="4" borderId="4" xfId="0" applyNumberFormat="1" applyFont="1" applyFill="1" applyBorder="1" applyAlignment="1">
      <alignment horizontal="center" vertical="center"/>
    </xf>
    <xf numFmtId="1" fontId="84" fillId="7" borderId="4" xfId="0" applyNumberFormat="1" applyFont="1" applyFill="1" applyBorder="1" applyAlignment="1">
      <alignment horizontal="center" vertical="center"/>
    </xf>
    <xf numFmtId="1" fontId="71" fillId="0" borderId="40" xfId="0" applyNumberFormat="1" applyFont="1" applyFill="1" applyBorder="1" applyAlignment="1">
      <alignment horizontal="center" vertical="center"/>
    </xf>
    <xf numFmtId="0" fontId="84" fillId="7" borderId="4" xfId="0" applyFont="1" applyFill="1" applyBorder="1" applyAlignment="1">
      <alignment horizontal="center" vertical="center"/>
    </xf>
    <xf numFmtId="0" fontId="71" fillId="7" borderId="4" xfId="0" applyFont="1" applyFill="1" applyBorder="1" applyAlignment="1">
      <alignment horizontal="center" vertical="center"/>
    </xf>
    <xf numFmtId="1" fontId="24" fillId="0" borderId="40" xfId="0" applyNumberFormat="1" applyFont="1" applyBorder="1" applyAlignment="1">
      <alignment horizontal="center" vertical="center"/>
    </xf>
    <xf numFmtId="0" fontId="24" fillId="0" borderId="40" xfId="0" applyFont="1" applyFill="1" applyBorder="1" applyAlignment="1">
      <alignment horizontal="center" vertical="center"/>
    </xf>
    <xf numFmtId="1" fontId="71" fillId="0" borderId="41" xfId="0" applyNumberFormat="1" applyFont="1" applyBorder="1" applyAlignment="1">
      <alignment horizontal="center" vertical="center"/>
    </xf>
    <xf numFmtId="1" fontId="71" fillId="0" borderId="41" xfId="0" applyNumberFormat="1" applyFont="1" applyFill="1" applyBorder="1" applyAlignment="1">
      <alignment horizontal="center" vertical="center"/>
    </xf>
    <xf numFmtId="1" fontId="71" fillId="4" borderId="42" xfId="0" applyNumberFormat="1" applyFont="1" applyFill="1" applyBorder="1" applyAlignment="1">
      <alignment horizontal="center" vertical="center"/>
    </xf>
    <xf numFmtId="0" fontId="33" fillId="7" borderId="4" xfId="0" applyFont="1" applyFill="1" applyBorder="1" applyAlignment="1">
      <alignment horizontal="center"/>
    </xf>
    <xf numFmtId="1" fontId="33" fillId="7" borderId="4" xfId="0" applyNumberFormat="1" applyFont="1" applyFill="1" applyBorder="1" applyAlignment="1">
      <alignment horizontal="center" vertical="center"/>
    </xf>
    <xf numFmtId="9" fontId="33" fillId="7" borderId="4" xfId="0" applyNumberFormat="1" applyFont="1" applyFill="1" applyBorder="1" applyAlignment="1">
      <alignment horizontal="center"/>
    </xf>
    <xf numFmtId="1" fontId="25" fillId="0" borderId="19" xfId="0" applyNumberFormat="1" applyFont="1" applyBorder="1" applyAlignment="1">
      <alignment horizontal="center"/>
    </xf>
    <xf numFmtId="1" fontId="25" fillId="0" borderId="19" xfId="0" applyNumberFormat="1" applyFont="1" applyFill="1" applyBorder="1" applyAlignment="1">
      <alignment horizontal="center"/>
    </xf>
    <xf numFmtId="1" fontId="25" fillId="4" borderId="10" xfId="0" applyNumberFormat="1" applyFont="1" applyFill="1" applyBorder="1" applyAlignment="1">
      <alignment horizontal="center"/>
    </xf>
    <xf numFmtId="1" fontId="25" fillId="0" borderId="44" xfId="0" applyNumberFormat="1" applyFont="1" applyFill="1" applyBorder="1" applyAlignment="1">
      <alignment horizontal="center"/>
    </xf>
    <xf numFmtId="1" fontId="25" fillId="4" borderId="5" xfId="0" applyNumberFormat="1" applyFont="1" applyFill="1" applyBorder="1" applyAlignment="1">
      <alignment horizontal="center"/>
    </xf>
    <xf numFmtId="1" fontId="25" fillId="0" borderId="11" xfId="0" applyNumberFormat="1" applyFont="1" applyBorder="1" applyAlignment="1">
      <alignment horizontal="center"/>
    </xf>
    <xf numFmtId="1" fontId="25" fillId="0" borderId="11" xfId="0" applyNumberFormat="1" applyFont="1" applyFill="1" applyBorder="1" applyAlignment="1">
      <alignment horizontal="center"/>
    </xf>
    <xf numFmtId="1" fontId="25" fillId="4" borderId="21" xfId="0" applyNumberFormat="1" applyFont="1" applyFill="1" applyBorder="1" applyAlignment="1">
      <alignment horizontal="center"/>
    </xf>
    <xf numFmtId="1" fontId="25" fillId="0" borderId="31" xfId="0" applyNumberFormat="1" applyFont="1" applyFill="1" applyBorder="1" applyAlignment="1">
      <alignment horizontal="center"/>
    </xf>
    <xf numFmtId="0" fontId="25" fillId="4" borderId="5" xfId="0" applyFont="1" applyFill="1" applyBorder="1" applyAlignment="1">
      <alignment horizontal="center"/>
    </xf>
    <xf numFmtId="0" fontId="58" fillId="3" borderId="6" xfId="0" applyFont="1" applyFill="1" applyBorder="1" applyAlignment="1">
      <alignment horizontal="center" vertical="center"/>
    </xf>
    <xf numFmtId="0" fontId="58" fillId="3" borderId="3" xfId="0" applyFont="1" applyFill="1" applyBorder="1" applyAlignment="1">
      <alignment horizontal="center" vertical="center"/>
    </xf>
    <xf numFmtId="0" fontId="58" fillId="4" borderId="5" xfId="0" applyFont="1" applyFill="1" applyBorder="1" applyAlignment="1">
      <alignment horizontal="center" vertical="center"/>
    </xf>
    <xf numFmtId="0" fontId="58" fillId="4" borderId="14" xfId="0" applyFont="1" applyFill="1" applyBorder="1" applyAlignment="1">
      <alignment horizontal="center" vertical="center"/>
    </xf>
    <xf numFmtId="0" fontId="58" fillId="4" borderId="10" xfId="0" applyFont="1" applyFill="1" applyBorder="1" applyAlignment="1">
      <alignment horizontal="center" vertical="center"/>
    </xf>
    <xf numFmtId="9" fontId="58" fillId="0" borderId="7" xfId="0" applyNumberFormat="1" applyFont="1" applyFill="1" applyBorder="1" applyAlignment="1">
      <alignment horizontal="center" vertical="center"/>
    </xf>
    <xf numFmtId="9" fontId="59" fillId="4" borderId="4" xfId="0" applyNumberFormat="1" applyFont="1" applyFill="1" applyBorder="1" applyAlignment="1">
      <alignment horizontal="center" vertical="center"/>
    </xf>
    <xf numFmtId="9" fontId="39" fillId="7" borderId="4" xfId="0" applyNumberFormat="1" applyFont="1" applyFill="1" applyBorder="1" applyAlignment="1">
      <alignment horizontal="center" vertical="center"/>
    </xf>
    <xf numFmtId="9" fontId="85" fillId="4" borderId="4" xfId="0" applyNumberFormat="1" applyFont="1" applyFill="1" applyBorder="1" applyAlignment="1">
      <alignment horizontal="center" vertical="center"/>
    </xf>
    <xf numFmtId="9" fontId="34" fillId="4" borderId="21" xfId="0" applyNumberFormat="1" applyFont="1" applyFill="1" applyBorder="1" applyAlignment="1">
      <alignment horizontal="center" vertical="center"/>
    </xf>
    <xf numFmtId="9" fontId="39" fillId="7" borderId="4" xfId="0" quotePrefix="1" applyNumberFormat="1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vertical="center" wrapText="1"/>
    </xf>
    <xf numFmtId="1" fontId="71" fillId="4" borderId="45" xfId="0" applyNumberFormat="1" applyFont="1" applyFill="1" applyBorder="1" applyAlignment="1">
      <alignment horizontal="center" vertical="center"/>
    </xf>
    <xf numFmtId="1" fontId="71" fillId="4" borderId="3" xfId="0" applyNumberFormat="1" applyFont="1" applyFill="1" applyBorder="1" applyAlignment="1">
      <alignment horizontal="center" vertical="center"/>
    </xf>
    <xf numFmtId="0" fontId="71" fillId="7" borderId="40" xfId="0" applyFont="1" applyFill="1" applyBorder="1" applyAlignment="1">
      <alignment horizontal="center" vertical="center"/>
    </xf>
    <xf numFmtId="1" fontId="71" fillId="7" borderId="40" xfId="0" applyNumberFormat="1" applyFont="1" applyFill="1" applyBorder="1" applyAlignment="1">
      <alignment horizontal="center" vertical="center"/>
    </xf>
    <xf numFmtId="0" fontId="29" fillId="0" borderId="41" xfId="0" applyFont="1" applyBorder="1" applyAlignment="1">
      <alignment horizontal="center"/>
    </xf>
    <xf numFmtId="9" fontId="25" fillId="0" borderId="15" xfId="0" applyNumberFormat="1" applyFont="1" applyFill="1" applyBorder="1" applyAlignment="1">
      <alignment horizontal="center"/>
    </xf>
    <xf numFmtId="9" fontId="45" fillId="0" borderId="15" xfId="0" applyNumberFormat="1" applyFont="1" applyFill="1" applyBorder="1" applyAlignment="1">
      <alignment horizontal="center" vertical="center"/>
    </xf>
    <xf numFmtId="0" fontId="29" fillId="4" borderId="2" xfId="0" applyFont="1" applyFill="1" applyBorder="1" applyAlignment="1">
      <alignment horizontal="center" vertical="center"/>
    </xf>
    <xf numFmtId="0" fontId="29" fillId="4" borderId="3" xfId="0" applyFont="1" applyFill="1" applyBorder="1" applyAlignment="1">
      <alignment horizontal="center" vertical="center"/>
    </xf>
    <xf numFmtId="0" fontId="25" fillId="4" borderId="4" xfId="0" applyFont="1" applyFill="1" applyBorder="1" applyAlignment="1">
      <alignment horizontal="center" vertical="center"/>
    </xf>
    <xf numFmtId="0" fontId="25" fillId="4" borderId="8" xfId="0" applyFont="1" applyFill="1" applyBorder="1" applyAlignment="1">
      <alignment horizontal="center"/>
    </xf>
    <xf numFmtId="0" fontId="25" fillId="0" borderId="32" xfId="0" applyFont="1" applyFill="1" applyBorder="1" applyAlignment="1">
      <alignment horizontal="center"/>
    </xf>
    <xf numFmtId="0" fontId="25" fillId="4" borderId="33" xfId="0" applyFont="1" applyFill="1" applyBorder="1" applyAlignment="1">
      <alignment horizontal="center"/>
    </xf>
    <xf numFmtId="0" fontId="34" fillId="3" borderId="5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/>
    </xf>
    <xf numFmtId="0" fontId="57" fillId="0" borderId="8" xfId="0" applyFont="1" applyBorder="1" applyAlignment="1">
      <alignment vertical="center"/>
    </xf>
    <xf numFmtId="0" fontId="57" fillId="0" borderId="0" xfId="0" applyFont="1" applyBorder="1" applyAlignment="1">
      <alignment vertical="center"/>
    </xf>
    <xf numFmtId="0" fontId="25" fillId="3" borderId="3" xfId="0" applyFont="1" applyFill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/>
    </xf>
    <xf numFmtId="9" fontId="25" fillId="4" borderId="4" xfId="0" applyNumberFormat="1" applyFont="1" applyFill="1" applyBorder="1" applyAlignment="1">
      <alignment horizontal="center" vertical="center"/>
    </xf>
    <xf numFmtId="0" fontId="88" fillId="0" borderId="15" xfId="0" applyFont="1" applyBorder="1" applyAlignment="1">
      <alignment horizontal="center"/>
    </xf>
    <xf numFmtId="0" fontId="88" fillId="6" borderId="15" xfId="0" applyFont="1" applyFill="1" applyBorder="1" applyAlignment="1">
      <alignment horizontal="center"/>
    </xf>
    <xf numFmtId="164" fontId="88" fillId="0" borderId="15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89" fillId="0" borderId="7" xfId="0" applyFont="1" applyFill="1" applyBorder="1" applyAlignment="1">
      <alignment horizontal="center" vertical="center"/>
    </xf>
    <xf numFmtId="1" fontId="89" fillId="0" borderId="7" xfId="0" applyNumberFormat="1" applyFont="1" applyFill="1" applyBorder="1" applyAlignment="1">
      <alignment horizontal="center" vertical="center"/>
    </xf>
    <xf numFmtId="9" fontId="25" fillId="4" borderId="46" xfId="0" applyNumberFormat="1" applyFont="1" applyFill="1" applyBorder="1" applyAlignment="1">
      <alignment horizontal="center"/>
    </xf>
    <xf numFmtId="0" fontId="91" fillId="3" borderId="5" xfId="0" applyFont="1" applyFill="1" applyBorder="1" applyAlignment="1">
      <alignment horizontal="center"/>
    </xf>
    <xf numFmtId="0" fontId="91" fillId="4" borderId="7" xfId="0" applyFont="1" applyFill="1" applyBorder="1" applyAlignment="1">
      <alignment horizontal="center"/>
    </xf>
    <xf numFmtId="9" fontId="92" fillId="4" borderId="7" xfId="0" applyNumberFormat="1" applyFont="1" applyFill="1" applyBorder="1" applyAlignment="1">
      <alignment horizontal="center"/>
    </xf>
    <xf numFmtId="0" fontId="93" fillId="0" borderId="0" xfId="0" applyFont="1"/>
    <xf numFmtId="0" fontId="93" fillId="0" borderId="0" xfId="0" applyFont="1" applyFill="1"/>
    <xf numFmtId="0" fontId="28" fillId="3" borderId="5" xfId="0" applyFont="1" applyFill="1" applyBorder="1" applyAlignment="1">
      <alignment horizontal="center"/>
    </xf>
    <xf numFmtId="0" fontId="28" fillId="4" borderId="7" xfId="0" applyFont="1" applyFill="1" applyBorder="1" applyAlignment="1">
      <alignment horizontal="center"/>
    </xf>
    <xf numFmtId="0" fontId="25" fillId="10" borderId="15" xfId="0" applyFont="1" applyFill="1" applyBorder="1" applyAlignment="1">
      <alignment horizontal="center" wrapText="1"/>
    </xf>
    <xf numFmtId="0" fontId="25" fillId="4" borderId="15" xfId="0" applyFont="1" applyFill="1" applyBorder="1" applyAlignment="1">
      <alignment horizontal="center" vertical="center" wrapText="1"/>
    </xf>
    <xf numFmtId="0" fontId="25" fillId="4" borderId="15" xfId="0" applyFont="1" applyFill="1" applyBorder="1" applyAlignment="1">
      <alignment horizontal="center" wrapText="1"/>
    </xf>
    <xf numFmtId="0" fontId="25" fillId="0" borderId="15" xfId="0" applyFont="1" applyFill="1" applyBorder="1" applyAlignment="1">
      <alignment horizontal="center" vertical="top" wrapText="1"/>
    </xf>
    <xf numFmtId="0" fontId="25" fillId="4" borderId="15" xfId="0" applyFont="1" applyFill="1" applyBorder="1" applyAlignment="1">
      <alignment horizontal="center" vertical="top" wrapText="1"/>
    </xf>
    <xf numFmtId="0" fontId="28" fillId="3" borderId="15" xfId="0" applyFont="1" applyFill="1" applyBorder="1" applyAlignment="1">
      <alignment horizontal="center" vertical="center" wrapText="1"/>
    </xf>
    <xf numFmtId="0" fontId="28" fillId="3" borderId="15" xfId="0" applyFont="1" applyFill="1" applyBorder="1" applyAlignment="1">
      <alignment horizontal="center" vertical="center"/>
    </xf>
    <xf numFmtId="0" fontId="83" fillId="11" borderId="15" xfId="0" applyFont="1" applyFill="1" applyBorder="1" applyAlignment="1">
      <alignment horizontal="center" vertical="center" wrapText="1"/>
    </xf>
    <xf numFmtId="0" fontId="39" fillId="11" borderId="15" xfId="0" applyFont="1" applyFill="1" applyBorder="1" applyAlignment="1">
      <alignment horizontal="center" vertical="center" wrapText="1"/>
    </xf>
    <xf numFmtId="0" fontId="95" fillId="11" borderId="15" xfId="0" applyFont="1" applyFill="1" applyBorder="1" applyAlignment="1">
      <alignment horizontal="center" vertical="center" wrapText="1"/>
    </xf>
    <xf numFmtId="0" fontId="25" fillId="9" borderId="15" xfId="0" applyFont="1" applyFill="1" applyBorder="1" applyAlignment="1">
      <alignment horizontal="center" wrapText="1"/>
    </xf>
    <xf numFmtId="0" fontId="25" fillId="5" borderId="15" xfId="0" applyFont="1" applyFill="1" applyBorder="1" applyAlignment="1">
      <alignment horizontal="center" wrapText="1"/>
    </xf>
    <xf numFmtId="0" fontId="83" fillId="12" borderId="15" xfId="0" applyFont="1" applyFill="1" applyBorder="1" applyAlignment="1">
      <alignment horizontal="center" vertical="center" wrapText="1"/>
    </xf>
    <xf numFmtId="0" fontId="95" fillId="12" borderId="15" xfId="0" applyFont="1" applyFill="1" applyBorder="1" applyAlignment="1">
      <alignment horizontal="center" vertical="center" wrapText="1"/>
    </xf>
    <xf numFmtId="0" fontId="25" fillId="13" borderId="15" xfId="0" applyFont="1" applyFill="1" applyBorder="1" applyAlignment="1">
      <alignment horizontal="center" wrapText="1"/>
    </xf>
    <xf numFmtId="0" fontId="83" fillId="14" borderId="15" xfId="0" applyFont="1" applyFill="1" applyBorder="1" applyAlignment="1">
      <alignment horizontal="center" vertical="center" wrapText="1"/>
    </xf>
    <xf numFmtId="0" fontId="39" fillId="14" borderId="15" xfId="0" applyFont="1" applyFill="1" applyBorder="1" applyAlignment="1">
      <alignment horizontal="center" vertical="center" wrapText="1"/>
    </xf>
    <xf numFmtId="0" fontId="95" fillId="14" borderId="15" xfId="0" applyFont="1" applyFill="1" applyBorder="1" applyAlignment="1">
      <alignment horizontal="center" vertical="center" wrapText="1"/>
    </xf>
    <xf numFmtId="0" fontId="39" fillId="12" borderId="15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wrapText="1"/>
    </xf>
    <xf numFmtId="0" fontId="25" fillId="15" borderId="15" xfId="0" applyFont="1" applyFill="1" applyBorder="1" applyAlignment="1">
      <alignment horizontal="center"/>
    </xf>
    <xf numFmtId="0" fontId="83" fillId="16" borderId="15" xfId="0" applyFont="1" applyFill="1" applyBorder="1" applyAlignment="1">
      <alignment horizontal="center" vertical="center"/>
    </xf>
    <xf numFmtId="0" fontId="95" fillId="16" borderId="15" xfId="0" applyFont="1" applyFill="1" applyBorder="1" applyAlignment="1">
      <alignment horizontal="center" vertical="center"/>
    </xf>
    <xf numFmtId="0" fontId="39" fillId="16" borderId="15" xfId="0" applyFont="1" applyFill="1" applyBorder="1" applyAlignment="1">
      <alignment horizontal="center" vertical="center"/>
    </xf>
    <xf numFmtId="0" fontId="96" fillId="7" borderId="15" xfId="0" applyFont="1" applyFill="1" applyBorder="1" applyAlignment="1">
      <alignment horizontal="center" vertical="center"/>
    </xf>
    <xf numFmtId="0" fontId="97" fillId="7" borderId="15" xfId="0" applyFont="1" applyFill="1" applyBorder="1" applyAlignment="1">
      <alignment horizontal="center" vertical="center" wrapText="1"/>
    </xf>
    <xf numFmtId="0" fontId="98" fillId="7" borderId="15" xfId="0" applyFont="1" applyFill="1" applyBorder="1" applyAlignment="1">
      <alignment horizontal="center" vertical="center"/>
    </xf>
    <xf numFmtId="9" fontId="59" fillId="7" borderId="4" xfId="0" applyNumberFormat="1" applyFont="1" applyFill="1" applyBorder="1" applyAlignment="1">
      <alignment horizontal="center" vertical="center"/>
    </xf>
    <xf numFmtId="9" fontId="100" fillId="4" borderId="4" xfId="0" applyNumberFormat="1" applyFont="1" applyFill="1" applyBorder="1" applyAlignment="1">
      <alignment horizontal="center" vertical="center"/>
    </xf>
    <xf numFmtId="0" fontId="25" fillId="10" borderId="15" xfId="0" applyFont="1" applyFill="1" applyBorder="1" applyAlignment="1">
      <alignment horizontal="center"/>
    </xf>
    <xf numFmtId="0" fontId="83" fillId="17" borderId="15" xfId="0" applyFont="1" applyFill="1" applyBorder="1" applyAlignment="1">
      <alignment horizontal="center" vertical="center"/>
    </xf>
    <xf numFmtId="0" fontId="39" fillId="17" borderId="15" xfId="0" applyFont="1" applyFill="1" applyBorder="1" applyAlignment="1">
      <alignment horizontal="center" vertical="center"/>
    </xf>
    <xf numFmtId="0" fontId="95" fillId="17" borderId="15" xfId="0" applyFont="1" applyFill="1" applyBorder="1" applyAlignment="1">
      <alignment horizontal="center" vertical="center"/>
    </xf>
    <xf numFmtId="9" fontId="0" fillId="0" borderId="15" xfId="0" applyNumberFormat="1" applyFill="1" applyBorder="1" applyAlignment="1">
      <alignment horizontal="center"/>
    </xf>
    <xf numFmtId="9" fontId="25" fillId="4" borderId="47" xfId="0" applyNumberFormat="1" applyFont="1" applyFill="1" applyBorder="1" applyAlignment="1">
      <alignment horizontal="center"/>
    </xf>
    <xf numFmtId="0" fontId="25" fillId="0" borderId="23" xfId="0" applyFont="1" applyFill="1" applyBorder="1" applyAlignment="1">
      <alignment horizontal="center"/>
    </xf>
    <xf numFmtId="9" fontId="30" fillId="3" borderId="4" xfId="0" applyNumberFormat="1" applyFont="1" applyFill="1" applyBorder="1" applyAlignment="1">
      <alignment horizontal="center" vertical="center"/>
    </xf>
    <xf numFmtId="164" fontId="30" fillId="3" borderId="4" xfId="0" applyNumberFormat="1" applyFont="1" applyFill="1" applyBorder="1" applyAlignment="1">
      <alignment horizontal="center" vertical="center"/>
    </xf>
    <xf numFmtId="164" fontId="33" fillId="0" borderId="17" xfId="0" applyNumberFormat="1" applyFont="1" applyBorder="1" applyAlignment="1">
      <alignment horizontal="center" vertical="center"/>
    </xf>
    <xf numFmtId="0" fontId="58" fillId="2" borderId="15" xfId="0" applyFont="1" applyFill="1" applyBorder="1" applyAlignment="1">
      <alignment horizontal="center"/>
    </xf>
    <xf numFmtId="0" fontId="58" fillId="2" borderId="27" xfId="0" applyFont="1" applyFill="1" applyBorder="1" applyAlignment="1">
      <alignment horizontal="center"/>
    </xf>
    <xf numFmtId="0" fontId="33" fillId="4" borderId="17" xfId="0" applyFont="1" applyFill="1" applyBorder="1" applyAlignment="1">
      <alignment horizontal="center"/>
    </xf>
    <xf numFmtId="0" fontId="58" fillId="6" borderId="15" xfId="0" applyFont="1" applyFill="1" applyBorder="1" applyAlignment="1">
      <alignment horizontal="center"/>
    </xf>
    <xf numFmtId="0" fontId="33" fillId="6" borderId="17" xfId="0" applyFont="1" applyFill="1" applyBorder="1" applyAlignment="1">
      <alignment horizontal="center"/>
    </xf>
    <xf numFmtId="0" fontId="33" fillId="0" borderId="17" xfId="0" applyFont="1" applyBorder="1" applyAlignment="1">
      <alignment horizontal="center"/>
    </xf>
    <xf numFmtId="164" fontId="58" fillId="2" borderId="15" xfId="2" applyNumberFormat="1" applyFont="1" applyFill="1" applyBorder="1" applyAlignment="1">
      <alignment horizontal="center"/>
    </xf>
    <xf numFmtId="164" fontId="33" fillId="4" borderId="17" xfId="2" applyNumberFormat="1" applyFont="1" applyFill="1" applyBorder="1" applyAlignment="1">
      <alignment horizontal="center"/>
    </xf>
    <xf numFmtId="0" fontId="58" fillId="3" borderId="4" xfId="0" applyFont="1" applyFill="1" applyBorder="1" applyAlignment="1">
      <alignment horizontal="center" vertical="center" wrapText="1"/>
    </xf>
    <xf numFmtId="0" fontId="58" fillId="3" borderId="2" xfId="0" applyFont="1" applyFill="1" applyBorder="1" applyAlignment="1">
      <alignment horizontal="center" vertical="center" wrapText="1"/>
    </xf>
    <xf numFmtId="0" fontId="33" fillId="4" borderId="5" xfId="0" applyFont="1" applyFill="1" applyBorder="1" applyAlignment="1">
      <alignment horizontal="center" vertical="center" wrapText="1"/>
    </xf>
    <xf numFmtId="1" fontId="58" fillId="0" borderId="7" xfId="0" applyNumberFormat="1" applyFont="1" applyBorder="1" applyAlignment="1">
      <alignment horizontal="center" vertical="center" wrapText="1"/>
    </xf>
    <xf numFmtId="0" fontId="58" fillId="0" borderId="7" xfId="0" applyFont="1" applyBorder="1" applyAlignment="1">
      <alignment horizontal="center" vertical="center" wrapText="1"/>
    </xf>
    <xf numFmtId="9" fontId="58" fillId="0" borderId="7" xfId="0" applyNumberFormat="1" applyFont="1" applyBorder="1" applyAlignment="1">
      <alignment horizontal="center" vertical="center" wrapText="1"/>
    </xf>
    <xf numFmtId="0" fontId="58" fillId="0" borderId="23" xfId="0" applyFont="1" applyBorder="1" applyAlignment="1">
      <alignment horizontal="center" vertical="center" wrapText="1"/>
    </xf>
    <xf numFmtId="9" fontId="58" fillId="0" borderId="23" xfId="0" applyNumberFormat="1" applyFont="1" applyBorder="1" applyAlignment="1">
      <alignment horizontal="center" vertical="center" wrapText="1"/>
    </xf>
    <xf numFmtId="0" fontId="33" fillId="3" borderId="4" xfId="0" applyFont="1" applyFill="1" applyBorder="1" applyAlignment="1">
      <alignment horizontal="center" vertical="center" wrapText="1"/>
    </xf>
    <xf numFmtId="0" fontId="102" fillId="3" borderId="4" xfId="0" applyFont="1" applyFill="1" applyBorder="1" applyAlignment="1">
      <alignment horizontal="center" vertical="center" wrapText="1"/>
    </xf>
    <xf numFmtId="9" fontId="102" fillId="3" borderId="4" xfId="0" applyNumberFormat="1" applyFont="1" applyFill="1" applyBorder="1" applyAlignment="1">
      <alignment horizontal="center" vertical="center" wrapText="1"/>
    </xf>
    <xf numFmtId="0" fontId="33" fillId="4" borderId="4" xfId="0" applyFont="1" applyFill="1" applyBorder="1" applyAlignment="1">
      <alignment horizontal="center" vertical="center" wrapText="1"/>
    </xf>
    <xf numFmtId="0" fontId="58" fillId="0" borderId="32" xfId="0" applyFont="1" applyBorder="1" applyAlignment="1">
      <alignment horizontal="center" vertical="center" wrapText="1"/>
    </xf>
    <xf numFmtId="9" fontId="58" fillId="0" borderId="32" xfId="0" applyNumberFormat="1" applyFont="1" applyBorder="1" applyAlignment="1">
      <alignment horizontal="center" vertical="center" wrapText="1"/>
    </xf>
    <xf numFmtId="0" fontId="34" fillId="3" borderId="4" xfId="0" applyFont="1" applyFill="1" applyBorder="1" applyAlignment="1">
      <alignment horizontal="center" vertical="center" wrapText="1"/>
    </xf>
    <xf numFmtId="0" fontId="35" fillId="3" borderId="4" xfId="0" applyFont="1" applyFill="1" applyBorder="1" applyAlignment="1">
      <alignment horizontal="center" vertical="center" wrapText="1"/>
    </xf>
    <xf numFmtId="9" fontId="35" fillId="3" borderId="4" xfId="0" applyNumberFormat="1" applyFont="1" applyFill="1" applyBorder="1" applyAlignment="1">
      <alignment horizontal="center" vertical="center" wrapText="1"/>
    </xf>
    <xf numFmtId="0" fontId="58" fillId="3" borderId="2" xfId="0" applyNumberFormat="1" applyFont="1" applyFill="1" applyBorder="1" applyAlignment="1">
      <alignment horizontal="center" vertical="center" wrapText="1"/>
    </xf>
    <xf numFmtId="0" fontId="89" fillId="0" borderId="23" xfId="0" applyFont="1" applyBorder="1" applyAlignment="1">
      <alignment horizontal="center" vertical="center"/>
    </xf>
    <xf numFmtId="1" fontId="28" fillId="4" borderId="5" xfId="0" applyNumberFormat="1" applyFont="1" applyFill="1" applyBorder="1" applyAlignment="1">
      <alignment horizontal="center" vertical="center"/>
    </xf>
    <xf numFmtId="0" fontId="25" fillId="0" borderId="7" xfId="0" applyFont="1" applyFill="1" applyBorder="1" applyAlignment="1">
      <alignment horizontal="center" vertical="center"/>
    </xf>
    <xf numFmtId="9" fontId="25" fillId="0" borderId="7" xfId="0" applyNumberFormat="1" applyFont="1" applyFill="1" applyBorder="1" applyAlignment="1">
      <alignment horizontal="center" vertical="center"/>
    </xf>
    <xf numFmtId="0" fontId="85" fillId="3" borderId="4" xfId="0" applyFont="1" applyFill="1" applyBorder="1" applyAlignment="1">
      <alignment horizontal="center" vertical="center"/>
    </xf>
    <xf numFmtId="9" fontId="85" fillId="3" borderId="4" xfId="0" applyNumberFormat="1" applyFont="1" applyFill="1" applyBorder="1" applyAlignment="1">
      <alignment horizontal="center" vertical="center"/>
    </xf>
    <xf numFmtId="1" fontId="85" fillId="3" borderId="4" xfId="0" applyNumberFormat="1" applyFont="1" applyFill="1" applyBorder="1" applyAlignment="1">
      <alignment horizontal="center" vertical="center"/>
    </xf>
    <xf numFmtId="0" fontId="40" fillId="3" borderId="4" xfId="0" applyFont="1" applyFill="1" applyBorder="1" applyAlignment="1">
      <alignment horizontal="center" vertical="center" wrapText="1"/>
    </xf>
    <xf numFmtId="0" fontId="34" fillId="4" borderId="3" xfId="0" applyFont="1" applyFill="1" applyBorder="1" applyAlignment="1">
      <alignment horizontal="center" vertical="center" wrapText="1"/>
    </xf>
    <xf numFmtId="9" fontId="40" fillId="0" borderId="32" xfId="0" applyNumberFormat="1" applyFont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center" vertical="center" wrapText="1"/>
    </xf>
    <xf numFmtId="9" fontId="40" fillId="0" borderId="7" xfId="0" applyNumberFormat="1" applyFont="1" applyBorder="1" applyAlignment="1">
      <alignment horizontal="center" vertical="center" wrapText="1"/>
    </xf>
    <xf numFmtId="9" fontId="34" fillId="3" borderId="4" xfId="0" applyNumberFormat="1" applyFont="1" applyFill="1" applyBorder="1" applyAlignment="1">
      <alignment horizontal="center" vertical="center" wrapText="1"/>
    </xf>
    <xf numFmtId="1" fontId="34" fillId="3" borderId="4" xfId="0" applyNumberFormat="1" applyFont="1" applyFill="1" applyBorder="1" applyAlignment="1">
      <alignment horizontal="center" vertical="center" wrapText="1"/>
    </xf>
    <xf numFmtId="9" fontId="40" fillId="0" borderId="44" xfId="0" applyNumberFormat="1" applyFont="1" applyBorder="1" applyAlignment="1">
      <alignment horizontal="center" vertical="center" wrapText="1"/>
    </xf>
    <xf numFmtId="9" fontId="34" fillId="3" borderId="5" xfId="0" applyNumberFormat="1" applyFont="1" applyFill="1" applyBorder="1" applyAlignment="1">
      <alignment horizontal="center" vertical="center" wrapText="1"/>
    </xf>
    <xf numFmtId="9" fontId="40" fillId="0" borderId="19" xfId="0" applyNumberFormat="1" applyFont="1" applyBorder="1" applyAlignment="1">
      <alignment horizontal="center" vertical="center" wrapText="1"/>
    </xf>
    <xf numFmtId="1" fontId="40" fillId="4" borderId="4" xfId="0" applyNumberFormat="1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vertical="center"/>
    </xf>
    <xf numFmtId="0" fontId="25" fillId="4" borderId="47" xfId="0" applyFont="1" applyFill="1" applyBorder="1" applyAlignment="1">
      <alignment horizontal="center" vertical="center"/>
    </xf>
    <xf numFmtId="0" fontId="33" fillId="3" borderId="5" xfId="0" applyFont="1" applyFill="1" applyBorder="1" applyAlignment="1">
      <alignment horizontal="center" vertical="center"/>
    </xf>
    <xf numFmtId="9" fontId="28" fillId="4" borderId="4" xfId="0" applyNumberFormat="1" applyFont="1" applyFill="1" applyBorder="1" applyAlignment="1">
      <alignment horizontal="center" vertical="center"/>
    </xf>
    <xf numFmtId="0" fontId="58" fillId="0" borderId="7" xfId="0" applyFont="1" applyBorder="1" applyAlignment="1">
      <alignment horizontal="center" vertical="center"/>
    </xf>
    <xf numFmtId="9" fontId="33" fillId="4" borderId="4" xfId="0" applyNumberFormat="1" applyFont="1" applyFill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9" fontId="28" fillId="4" borderId="2" xfId="0" applyNumberFormat="1" applyFont="1" applyFill="1" applyBorder="1" applyAlignment="1">
      <alignment horizontal="center" vertical="center"/>
    </xf>
    <xf numFmtId="0" fontId="58" fillId="0" borderId="23" xfId="0" applyFont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9" fontId="28" fillId="3" borderId="4" xfId="0" applyNumberFormat="1" applyFont="1" applyFill="1" applyBorder="1" applyAlignment="1">
      <alignment horizontal="center" vertical="center"/>
    </xf>
    <xf numFmtId="0" fontId="58" fillId="3" borderId="4" xfId="0" applyFont="1" applyFill="1" applyBorder="1" applyAlignment="1">
      <alignment horizontal="center" vertical="center"/>
    </xf>
    <xf numFmtId="9" fontId="33" fillId="3" borderId="4" xfId="0" applyNumberFormat="1" applyFont="1" applyFill="1" applyBorder="1" applyAlignment="1">
      <alignment horizontal="center" vertical="center"/>
    </xf>
    <xf numFmtId="0" fontId="25" fillId="0" borderId="32" xfId="0" applyFont="1" applyBorder="1" applyAlignment="1">
      <alignment horizontal="center" vertical="center"/>
    </xf>
    <xf numFmtId="9" fontId="28" fillId="4" borderId="3" xfId="0" applyNumberFormat="1" applyFont="1" applyFill="1" applyBorder="1" applyAlignment="1">
      <alignment horizontal="center" vertical="center"/>
    </xf>
    <xf numFmtId="0" fontId="58" fillId="0" borderId="32" xfId="0" applyFont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83" fillId="0" borderId="0" xfId="0" applyFont="1" applyAlignment="1">
      <alignment vertical="center"/>
    </xf>
    <xf numFmtId="0" fontId="103" fillId="0" borderId="0" xfId="0" applyFont="1" applyAlignment="1">
      <alignment vertical="center"/>
    </xf>
    <xf numFmtId="0" fontId="33" fillId="0" borderId="0" xfId="0" applyFont="1" applyFill="1" applyBorder="1" applyAlignment="1">
      <alignment horizontal="center" vertical="center"/>
    </xf>
    <xf numFmtId="9" fontId="83" fillId="0" borderId="0" xfId="0" applyNumberFormat="1" applyFont="1" applyAlignment="1">
      <alignment vertical="center"/>
    </xf>
    <xf numFmtId="164" fontId="83" fillId="0" borderId="0" xfId="0" applyNumberFormat="1" applyFont="1" applyAlignment="1">
      <alignment vertical="center"/>
    </xf>
    <xf numFmtId="0" fontId="33" fillId="0" borderId="0" xfId="0" applyFont="1" applyAlignment="1">
      <alignment vertical="center"/>
    </xf>
    <xf numFmtId="0" fontId="104" fillId="0" borderId="0" xfId="0" applyFont="1" applyAlignment="1">
      <alignment vertical="center"/>
    </xf>
    <xf numFmtId="0" fontId="83" fillId="0" borderId="0" xfId="0" applyFont="1"/>
    <xf numFmtId="164" fontId="83" fillId="0" borderId="0" xfId="0" applyNumberFormat="1" applyFont="1"/>
    <xf numFmtId="164" fontId="83" fillId="0" borderId="0" xfId="0" applyNumberFormat="1" applyFont="1" applyFill="1" applyBorder="1" applyAlignment="1">
      <alignment horizontal="center" vertical="center"/>
    </xf>
    <xf numFmtId="0" fontId="83" fillId="0" borderId="0" xfId="0" applyFont="1" applyBorder="1"/>
    <xf numFmtId="0" fontId="33" fillId="4" borderId="4" xfId="0" applyFont="1" applyFill="1" applyBorder="1" applyAlignment="1">
      <alignment horizontal="center" vertical="center"/>
    </xf>
    <xf numFmtId="0" fontId="25" fillId="4" borderId="5" xfId="0" applyFont="1" applyFill="1" applyBorder="1" applyAlignment="1">
      <alignment horizontal="center" vertical="center"/>
    </xf>
    <xf numFmtId="9" fontId="81" fillId="0" borderId="19" xfId="0" applyNumberFormat="1" applyFont="1" applyBorder="1" applyAlignment="1">
      <alignment horizontal="center" vertical="center" wrapText="1"/>
    </xf>
    <xf numFmtId="9" fontId="81" fillId="4" borderId="19" xfId="0" applyNumberFormat="1" applyFont="1" applyFill="1" applyBorder="1" applyAlignment="1">
      <alignment horizontal="center" vertical="center" wrapText="1"/>
    </xf>
    <xf numFmtId="9" fontId="31" fillId="4" borderId="46" xfId="0" applyNumberFormat="1" applyFont="1" applyFill="1" applyBorder="1" applyAlignment="1">
      <alignment horizontal="center" vertical="center" wrapText="1"/>
    </xf>
    <xf numFmtId="9" fontId="81" fillId="0" borderId="50" xfId="0" applyNumberFormat="1" applyFont="1" applyBorder="1" applyAlignment="1">
      <alignment horizontal="center" vertical="center" wrapText="1"/>
    </xf>
    <xf numFmtId="9" fontId="81" fillId="0" borderId="51" xfId="0" applyNumberFormat="1" applyFont="1" applyBorder="1" applyAlignment="1">
      <alignment horizontal="center" vertical="center" wrapText="1"/>
    </xf>
    <xf numFmtId="9" fontId="81" fillId="4" borderId="52" xfId="0" applyNumberFormat="1" applyFont="1" applyFill="1" applyBorder="1" applyAlignment="1">
      <alignment horizontal="center" vertical="center" wrapText="1"/>
    </xf>
    <xf numFmtId="9" fontId="81" fillId="0" borderId="52" xfId="0" applyNumberFormat="1" applyFont="1" applyBorder="1" applyAlignment="1">
      <alignment horizontal="center" vertical="center" wrapText="1"/>
    </xf>
    <xf numFmtId="0" fontId="33" fillId="0" borderId="0" xfId="0" applyFont="1" applyBorder="1" applyAlignment="1">
      <alignment horizontal="left" vertical="center"/>
    </xf>
    <xf numFmtId="165" fontId="25" fillId="0" borderId="0" xfId="0" applyNumberFormat="1" applyFont="1" applyBorder="1" applyAlignment="1">
      <alignment horizontal="center" vertical="center"/>
    </xf>
    <xf numFmtId="0" fontId="25" fillId="4" borderId="53" xfId="0" applyFont="1" applyFill="1" applyBorder="1" applyAlignment="1">
      <alignment horizontal="center" vertical="center"/>
    </xf>
    <xf numFmtId="0" fontId="25" fillId="4" borderId="46" xfId="0" applyFont="1" applyFill="1" applyBorder="1" applyAlignment="1">
      <alignment horizontal="center" vertical="center"/>
    </xf>
    <xf numFmtId="9" fontId="33" fillId="4" borderId="5" xfId="0" applyNumberFormat="1" applyFont="1" applyFill="1" applyBorder="1" applyAlignment="1">
      <alignment horizontal="center" vertical="center"/>
    </xf>
    <xf numFmtId="9" fontId="33" fillId="3" borderId="5" xfId="0" applyNumberFormat="1" applyFont="1" applyFill="1" applyBorder="1" applyAlignment="1">
      <alignment horizontal="center" vertical="center"/>
    </xf>
    <xf numFmtId="9" fontId="33" fillId="4" borderId="10" xfId="0" applyNumberFormat="1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vertical="center"/>
    </xf>
    <xf numFmtId="9" fontId="71" fillId="7" borderId="38" xfId="0" applyNumberFormat="1" applyFont="1" applyFill="1" applyBorder="1" applyAlignment="1">
      <alignment horizontal="center" vertical="center"/>
    </xf>
    <xf numFmtId="1" fontId="24" fillId="0" borderId="54" xfId="0" applyNumberFormat="1" applyFont="1" applyBorder="1" applyAlignment="1">
      <alignment horizontal="center" vertical="center"/>
    </xf>
    <xf numFmtId="0" fontId="25" fillId="2" borderId="7" xfId="0" applyFont="1" applyFill="1" applyBorder="1" applyAlignment="1">
      <alignment horizontal="center"/>
    </xf>
    <xf numFmtId="0" fontId="39" fillId="0" borderId="0" xfId="0" applyFont="1" applyFill="1" applyBorder="1" applyAlignment="1">
      <alignment vertical="center"/>
    </xf>
    <xf numFmtId="0" fontId="26" fillId="3" borderId="5" xfId="0" applyFont="1" applyFill="1" applyBorder="1" applyAlignment="1">
      <alignment horizontal="center"/>
    </xf>
    <xf numFmtId="9" fontId="81" fillId="4" borderId="7" xfId="0" applyNumberFormat="1" applyFont="1" applyFill="1" applyBorder="1" applyAlignment="1">
      <alignment horizontal="center" vertical="center" wrapText="1"/>
    </xf>
    <xf numFmtId="9" fontId="31" fillId="4" borderId="12" xfId="0" applyNumberFormat="1" applyFont="1" applyFill="1" applyBorder="1" applyAlignment="1">
      <alignment horizontal="center" vertical="center" wrapText="1"/>
    </xf>
    <xf numFmtId="9" fontId="81" fillId="0" borderId="7" xfId="0" applyNumberFormat="1" applyFont="1" applyBorder="1" applyAlignment="1">
      <alignment horizontal="center" vertical="center" wrapText="1"/>
    </xf>
    <xf numFmtId="9" fontId="71" fillId="7" borderId="55" xfId="0" applyNumberFormat="1" applyFont="1" applyFill="1" applyBorder="1" applyAlignment="1">
      <alignment horizontal="center" vertical="center"/>
    </xf>
    <xf numFmtId="9" fontId="105" fillId="4" borderId="36" xfId="0" applyNumberFormat="1" applyFont="1" applyFill="1" applyBorder="1" applyAlignment="1">
      <alignment horizontal="center" vertical="center"/>
    </xf>
    <xf numFmtId="0" fontId="55" fillId="0" borderId="0" xfId="0" applyFont="1" applyBorder="1" applyAlignment="1">
      <alignment vertical="top"/>
    </xf>
    <xf numFmtId="9" fontId="34" fillId="3" borderId="4" xfId="0" applyNumberFormat="1" applyFont="1" applyFill="1" applyBorder="1" applyAlignment="1">
      <alignment horizontal="center" vertical="center"/>
    </xf>
    <xf numFmtId="1" fontId="34" fillId="3" borderId="4" xfId="0" applyNumberFormat="1" applyFont="1" applyFill="1" applyBorder="1" applyAlignment="1">
      <alignment horizontal="center" vertical="center"/>
    </xf>
    <xf numFmtId="0" fontId="34" fillId="3" borderId="4" xfId="0" applyFont="1" applyFill="1" applyBorder="1" applyAlignment="1">
      <alignment horizontal="center" vertical="center"/>
    </xf>
    <xf numFmtId="1" fontId="71" fillId="7" borderId="3" xfId="0" applyNumberFormat="1" applyFont="1" applyFill="1" applyBorder="1" applyAlignment="1">
      <alignment horizontal="center" vertical="center"/>
    </xf>
    <xf numFmtId="1" fontId="71" fillId="7" borderId="6" xfId="0" applyNumberFormat="1" applyFont="1" applyFill="1" applyBorder="1" applyAlignment="1">
      <alignment horizontal="center" vertical="center"/>
    </xf>
    <xf numFmtId="1" fontId="33" fillId="0" borderId="36" xfId="0" applyNumberFormat="1" applyFont="1" applyBorder="1" applyAlignment="1">
      <alignment horizontal="center"/>
    </xf>
    <xf numFmtId="0" fontId="30" fillId="3" borderId="10" xfId="0" applyFont="1" applyFill="1" applyBorder="1" applyAlignment="1">
      <alignment horizontal="center" vertical="center"/>
    </xf>
    <xf numFmtId="0" fontId="30" fillId="3" borderId="5" xfId="0" applyFont="1" applyFill="1" applyBorder="1" applyAlignment="1">
      <alignment horizontal="center" vertical="center" wrapText="1"/>
    </xf>
    <xf numFmtId="9" fontId="31" fillId="4" borderId="56" xfId="0" applyNumberFormat="1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1" fontId="20" fillId="0" borderId="0" xfId="0" applyNumberFormat="1" applyFont="1" applyAlignment="1">
      <alignment horizontal="center" vertical="center"/>
    </xf>
    <xf numFmtId="9" fontId="20" fillId="0" borderId="0" xfId="0" applyNumberFormat="1" applyFont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9" fontId="5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9" fontId="3" fillId="0" borderId="0" xfId="0" applyNumberFormat="1" applyFont="1" applyBorder="1" applyAlignment="1">
      <alignment horizontal="center" vertical="center"/>
    </xf>
    <xf numFmtId="0" fontId="131" fillId="0" borderId="0" xfId="1" applyAlignment="1" applyProtection="1"/>
    <xf numFmtId="9" fontId="25" fillId="0" borderId="16" xfId="0" applyNumberFormat="1" applyFont="1" applyBorder="1" applyAlignment="1">
      <alignment horizontal="center"/>
    </xf>
    <xf numFmtId="9" fontId="52" fillId="5" borderId="16" xfId="0" applyNumberFormat="1" applyFont="1" applyFill="1" applyBorder="1" applyAlignment="1">
      <alignment horizontal="center"/>
    </xf>
    <xf numFmtId="9" fontId="25" fillId="0" borderId="16" xfId="0" applyNumberFormat="1" applyFont="1" applyFill="1" applyBorder="1" applyAlignment="1">
      <alignment horizontal="center"/>
    </xf>
    <xf numFmtId="10" fontId="25" fillId="0" borderId="16" xfId="0" applyNumberFormat="1" applyFont="1" applyBorder="1" applyAlignment="1">
      <alignment horizontal="center" vertical="center"/>
    </xf>
    <xf numFmtId="1" fontId="25" fillId="0" borderId="11" xfId="0" applyNumberFormat="1" applyFont="1" applyFill="1" applyBorder="1" applyAlignment="1">
      <alignment horizontal="center" vertical="center"/>
    </xf>
    <xf numFmtId="9" fontId="25" fillId="3" borderId="4" xfId="0" applyNumberFormat="1" applyFont="1" applyFill="1" applyBorder="1" applyAlignment="1">
      <alignment horizontal="center" vertical="center"/>
    </xf>
    <xf numFmtId="1" fontId="25" fillId="0" borderId="7" xfId="0" quotePrefix="1" applyNumberFormat="1" applyFont="1" applyFill="1" applyBorder="1" applyAlignment="1">
      <alignment horizontal="center" vertical="center"/>
    </xf>
    <xf numFmtId="1" fontId="25" fillId="0" borderId="7" xfId="0" applyNumberFormat="1" applyFont="1" applyFill="1" applyBorder="1" applyAlignment="1">
      <alignment horizontal="center" vertical="center"/>
    </xf>
    <xf numFmtId="0" fontId="25" fillId="4" borderId="8" xfId="0" applyFont="1" applyFill="1" applyBorder="1" applyAlignment="1">
      <alignment horizontal="center" vertical="center"/>
    </xf>
    <xf numFmtId="1" fontId="25" fillId="4" borderId="10" xfId="0" applyNumberFormat="1" applyFont="1" applyFill="1" applyBorder="1" applyAlignment="1">
      <alignment horizontal="center" vertical="center"/>
    </xf>
    <xf numFmtId="1" fontId="25" fillId="0" borderId="31" xfId="0" applyNumberFormat="1" applyFont="1" applyFill="1" applyBorder="1" applyAlignment="1">
      <alignment horizontal="center" vertical="center"/>
    </xf>
    <xf numFmtId="9" fontId="25" fillId="4" borderId="56" xfId="0" applyNumberFormat="1" applyFont="1" applyFill="1" applyBorder="1" applyAlignment="1">
      <alignment horizontal="center" vertical="center"/>
    </xf>
    <xf numFmtId="0" fontId="25" fillId="4" borderId="33" xfId="0" applyFont="1" applyFill="1" applyBorder="1" applyAlignment="1">
      <alignment horizontal="center" vertical="center"/>
    </xf>
    <xf numFmtId="9" fontId="25" fillId="4" borderId="12" xfId="0" applyNumberFormat="1" applyFont="1" applyFill="1" applyBorder="1" applyAlignment="1">
      <alignment horizontal="center" vertical="center"/>
    </xf>
    <xf numFmtId="1" fontId="33" fillId="3" borderId="57" xfId="0" applyNumberFormat="1" applyFont="1" applyFill="1" applyBorder="1" applyAlignment="1">
      <alignment horizontal="center" vertical="center"/>
    </xf>
    <xf numFmtId="0" fontId="33" fillId="3" borderId="57" xfId="0" applyFont="1" applyFill="1" applyBorder="1" applyAlignment="1">
      <alignment horizontal="center" vertical="center"/>
    </xf>
    <xf numFmtId="0" fontId="33" fillId="3" borderId="58" xfId="0" applyFont="1" applyFill="1" applyBorder="1" applyAlignment="1">
      <alignment horizontal="center" vertical="center"/>
    </xf>
    <xf numFmtId="1" fontId="25" fillId="4" borderId="5" xfId="0" applyNumberFormat="1" applyFont="1" applyFill="1" applyBorder="1" applyAlignment="1">
      <alignment horizontal="center" vertical="center"/>
    </xf>
    <xf numFmtId="1" fontId="33" fillId="3" borderId="59" xfId="0" applyNumberFormat="1" applyFont="1" applyFill="1" applyBorder="1" applyAlignment="1">
      <alignment horizontal="center" vertical="center"/>
    </xf>
    <xf numFmtId="0" fontId="33" fillId="0" borderId="60" xfId="0" applyFont="1" applyBorder="1" applyAlignment="1">
      <alignment horizontal="center"/>
    </xf>
    <xf numFmtId="0" fontId="33" fillId="0" borderId="61" xfId="0" applyFont="1" applyBorder="1" applyAlignment="1">
      <alignment horizontal="center"/>
    </xf>
    <xf numFmtId="0" fontId="24" fillId="0" borderId="0" xfId="0" applyFont="1"/>
    <xf numFmtId="9" fontId="33" fillId="3" borderId="12" xfId="0" applyNumberFormat="1" applyFont="1" applyFill="1" applyBorder="1" applyAlignment="1">
      <alignment horizontal="center"/>
    </xf>
    <xf numFmtId="9" fontId="102" fillId="3" borderId="12" xfId="0" applyNumberFormat="1" applyFont="1" applyFill="1" applyBorder="1" applyAlignment="1">
      <alignment horizontal="center" vertical="center"/>
    </xf>
    <xf numFmtId="1" fontId="33" fillId="3" borderId="5" xfId="0" applyNumberFormat="1" applyFont="1" applyFill="1" applyBorder="1" applyAlignment="1">
      <alignment horizontal="center" vertical="center"/>
    </xf>
    <xf numFmtId="1" fontId="102" fillId="3" borderId="5" xfId="0" applyNumberFormat="1" applyFont="1" applyFill="1" applyBorder="1" applyAlignment="1">
      <alignment horizontal="center" vertical="center"/>
    </xf>
    <xf numFmtId="0" fontId="81" fillId="3" borderId="2" xfId="0" applyFont="1" applyFill="1" applyBorder="1" applyAlignment="1">
      <alignment horizontal="center" vertical="center" wrapText="1"/>
    </xf>
    <xf numFmtId="1" fontId="71" fillId="7" borderId="62" xfId="0" applyNumberFormat="1" applyFont="1" applyFill="1" applyBorder="1" applyAlignment="1">
      <alignment horizontal="center" vertical="center"/>
    </xf>
    <xf numFmtId="1" fontId="71" fillId="7" borderId="63" xfId="0" applyNumberFormat="1" applyFont="1" applyFill="1" applyBorder="1" applyAlignment="1">
      <alignment horizontal="center" vertical="center"/>
    </xf>
    <xf numFmtId="9" fontId="33" fillId="3" borderId="33" xfId="0" applyNumberFormat="1" applyFont="1" applyFill="1" applyBorder="1" applyAlignment="1">
      <alignment horizontal="center"/>
    </xf>
    <xf numFmtId="9" fontId="102" fillId="3" borderId="33" xfId="0" applyNumberFormat="1" applyFont="1" applyFill="1" applyBorder="1" applyAlignment="1">
      <alignment horizontal="center" vertical="center"/>
    </xf>
    <xf numFmtId="9" fontId="33" fillId="3" borderId="46" xfId="0" applyNumberFormat="1" applyFont="1" applyFill="1" applyBorder="1" applyAlignment="1">
      <alignment horizontal="center"/>
    </xf>
    <xf numFmtId="0" fontId="33" fillId="3" borderId="33" xfId="0" applyFont="1" applyFill="1" applyBorder="1" applyAlignment="1">
      <alignment horizontal="center" vertical="center"/>
    </xf>
    <xf numFmtId="9" fontId="33" fillId="3" borderId="4" xfId="0" applyNumberFormat="1" applyFont="1" applyFill="1" applyBorder="1" applyAlignment="1">
      <alignment horizontal="center"/>
    </xf>
    <xf numFmtId="0" fontId="25" fillId="0" borderId="36" xfId="0" applyFont="1" applyBorder="1" applyAlignment="1">
      <alignment horizontal="center" vertical="center"/>
    </xf>
    <xf numFmtId="0" fontId="25" fillId="0" borderId="36" xfId="0" applyFont="1" applyBorder="1" applyAlignment="1">
      <alignment horizontal="center" vertical="center" wrapText="1"/>
    </xf>
    <xf numFmtId="0" fontId="33" fillId="4" borderId="0" xfId="0" applyFont="1" applyFill="1" applyBorder="1" applyAlignment="1">
      <alignment horizontal="center" vertical="center"/>
    </xf>
    <xf numFmtId="9" fontId="63" fillId="4" borderId="0" xfId="0" applyNumberFormat="1" applyFont="1" applyFill="1" applyBorder="1" applyAlignment="1">
      <alignment horizontal="center" vertical="center"/>
    </xf>
    <xf numFmtId="0" fontId="25" fillId="0" borderId="32" xfId="0" applyFont="1" applyFill="1" applyBorder="1" applyAlignment="1">
      <alignment horizontal="center" vertical="center"/>
    </xf>
    <xf numFmtId="0" fontId="25" fillId="0" borderId="31" xfId="0" applyFont="1" applyFill="1" applyBorder="1" applyAlignment="1">
      <alignment horizontal="center" vertical="center"/>
    </xf>
    <xf numFmtId="0" fontId="25" fillId="4" borderId="64" xfId="0" applyFont="1" applyFill="1" applyBorder="1" applyAlignment="1">
      <alignment horizontal="center" vertical="center"/>
    </xf>
    <xf numFmtId="0" fontId="25" fillId="0" borderId="11" xfId="0" applyFont="1" applyFill="1" applyBorder="1" applyAlignment="1">
      <alignment horizontal="center" vertical="center"/>
    </xf>
    <xf numFmtId="0" fontId="33" fillId="3" borderId="14" xfId="0" applyFont="1" applyFill="1" applyBorder="1" applyAlignment="1">
      <alignment horizontal="center" vertical="center"/>
    </xf>
    <xf numFmtId="9" fontId="30" fillId="3" borderId="5" xfId="0" applyNumberFormat="1" applyFont="1" applyFill="1" applyBorder="1" applyAlignment="1">
      <alignment horizontal="center" vertical="center"/>
    </xf>
    <xf numFmtId="9" fontId="58" fillId="0" borderId="19" xfId="0" applyNumberFormat="1" applyFont="1" applyBorder="1" applyAlignment="1">
      <alignment horizontal="center" vertical="center" wrapText="1"/>
    </xf>
    <xf numFmtId="9" fontId="58" fillId="0" borderId="34" xfId="0" applyNumberFormat="1" applyFont="1" applyBorder="1" applyAlignment="1">
      <alignment horizontal="center" vertical="center" wrapText="1"/>
    </xf>
    <xf numFmtId="9" fontId="102" fillId="3" borderId="5" xfId="0" applyNumberFormat="1" applyFont="1" applyFill="1" applyBorder="1" applyAlignment="1">
      <alignment horizontal="center" vertical="center" wrapText="1"/>
    </xf>
    <xf numFmtId="9" fontId="58" fillId="0" borderId="44" xfId="0" applyNumberFormat="1" applyFont="1" applyBorder="1" applyAlignment="1">
      <alignment horizontal="center" vertical="center" wrapText="1"/>
    </xf>
    <xf numFmtId="9" fontId="35" fillId="3" borderId="5" xfId="0" applyNumberFormat="1" applyFont="1" applyFill="1" applyBorder="1" applyAlignment="1">
      <alignment horizontal="center" vertical="center" wrapText="1"/>
    </xf>
    <xf numFmtId="0" fontId="0" fillId="0" borderId="36" xfId="0" applyFill="1" applyBorder="1"/>
    <xf numFmtId="9" fontId="31" fillId="4" borderId="66" xfId="0" applyNumberFormat="1" applyFont="1" applyFill="1" applyBorder="1" applyAlignment="1">
      <alignment horizontal="center" vertical="center" wrapText="1"/>
    </xf>
    <xf numFmtId="9" fontId="31" fillId="3" borderId="4" xfId="0" applyNumberFormat="1" applyFont="1" applyFill="1" applyBorder="1" applyAlignment="1">
      <alignment horizontal="center" vertical="center" wrapText="1"/>
    </xf>
    <xf numFmtId="0" fontId="25" fillId="3" borderId="6" xfId="0" applyFont="1" applyFill="1" applyBorder="1" applyAlignment="1">
      <alignment horizontal="center" vertical="center" wrapText="1"/>
    </xf>
    <xf numFmtId="0" fontId="25" fillId="3" borderId="63" xfId="0" applyFont="1" applyFill="1" applyBorder="1" applyAlignment="1">
      <alignment horizontal="center" vertical="center" wrapText="1"/>
    </xf>
    <xf numFmtId="0" fontId="30" fillId="3" borderId="35" xfId="0" applyFont="1" applyFill="1" applyBorder="1" applyAlignment="1">
      <alignment horizontal="center" vertical="center"/>
    </xf>
    <xf numFmtId="0" fontId="0" fillId="0" borderId="32" xfId="0" applyBorder="1"/>
    <xf numFmtId="0" fontId="33" fillId="4" borderId="64" xfId="0" applyFont="1" applyFill="1" applyBorder="1" applyAlignment="1">
      <alignment horizontal="center" vertical="center"/>
    </xf>
    <xf numFmtId="9" fontId="63" fillId="4" borderId="64" xfId="0" applyNumberFormat="1" applyFont="1" applyFill="1" applyBorder="1" applyAlignment="1">
      <alignment horizontal="center" vertical="center"/>
    </xf>
    <xf numFmtId="0" fontId="40" fillId="3" borderId="10" xfId="0" applyFont="1" applyFill="1" applyBorder="1" applyAlignment="1">
      <alignment horizontal="center" vertical="center" wrapText="1"/>
    </xf>
    <xf numFmtId="0" fontId="0" fillId="0" borderId="0" xfId="0" applyFill="1" applyAlignment="1"/>
    <xf numFmtId="0" fontId="1" fillId="0" borderId="36" xfId="0" applyFont="1" applyBorder="1" applyAlignment="1">
      <alignment horizontal="center" vertical="center" wrapText="1"/>
    </xf>
    <xf numFmtId="0" fontId="29" fillId="5" borderId="36" xfId="0" applyFont="1" applyFill="1" applyBorder="1" applyAlignment="1">
      <alignment horizontal="center" vertical="center" wrapText="1"/>
    </xf>
    <xf numFmtId="0" fontId="29" fillId="15" borderId="36" xfId="0" applyFont="1" applyFill="1" applyBorder="1" applyAlignment="1">
      <alignment horizontal="center" vertical="center" wrapText="1"/>
    </xf>
    <xf numFmtId="0" fontId="29" fillId="10" borderId="36" xfId="0" applyFont="1" applyFill="1" applyBorder="1" applyAlignment="1">
      <alignment horizontal="center" vertical="center" wrapText="1"/>
    </xf>
    <xf numFmtId="0" fontId="28" fillId="10" borderId="36" xfId="0" applyFont="1" applyFill="1" applyBorder="1" applyAlignment="1">
      <alignment horizontal="center" vertical="center" wrapText="1"/>
    </xf>
    <xf numFmtId="0" fontId="47" fillId="4" borderId="5" xfId="0" applyFont="1" applyFill="1" applyBorder="1" applyAlignment="1">
      <alignment horizontal="center" vertical="center" wrapText="1"/>
    </xf>
    <xf numFmtId="0" fontId="47" fillId="3" borderId="5" xfId="0" applyFont="1" applyFill="1" applyBorder="1" applyAlignment="1">
      <alignment horizontal="center" vertical="center" wrapText="1"/>
    </xf>
    <xf numFmtId="0" fontId="49" fillId="4" borderId="5" xfId="0" applyFont="1" applyFill="1" applyBorder="1" applyAlignment="1">
      <alignment horizontal="center" vertical="center" wrapText="1"/>
    </xf>
    <xf numFmtId="0" fontId="29" fillId="18" borderId="40" xfId="0" applyFont="1" applyFill="1" applyBorder="1" applyAlignment="1">
      <alignment horizontal="center" vertical="center" wrapText="1"/>
    </xf>
    <xf numFmtId="0" fontId="28" fillId="0" borderId="7" xfId="0" applyFont="1" applyFill="1" applyBorder="1" applyAlignment="1">
      <alignment horizontal="center" vertical="center" wrapText="1"/>
    </xf>
    <xf numFmtId="0" fontId="28" fillId="0" borderId="23" xfId="0" applyFont="1" applyFill="1" applyBorder="1" applyAlignment="1">
      <alignment horizontal="center" vertical="center" wrapText="1"/>
    </xf>
    <xf numFmtId="0" fontId="39" fillId="11" borderId="4" xfId="0" applyFont="1" applyFill="1" applyBorder="1" applyAlignment="1">
      <alignment horizontal="center" vertical="center" wrapText="1"/>
    </xf>
    <xf numFmtId="0" fontId="28" fillId="4" borderId="4" xfId="0" applyFont="1" applyFill="1" applyBorder="1" applyAlignment="1">
      <alignment horizontal="center" vertical="center" wrapText="1"/>
    </xf>
    <xf numFmtId="0" fontId="28" fillId="0" borderId="68" xfId="0" applyFont="1" applyFill="1" applyBorder="1" applyAlignment="1">
      <alignment horizontal="center" vertical="center" wrapText="1"/>
    </xf>
    <xf numFmtId="0" fontId="39" fillId="16" borderId="4" xfId="0" applyFont="1" applyFill="1" applyBorder="1" applyAlignment="1">
      <alignment horizontal="center" vertical="center"/>
    </xf>
    <xf numFmtId="0" fontId="28" fillId="3" borderId="4" xfId="0" applyFont="1" applyFill="1" applyBorder="1" applyAlignment="1">
      <alignment horizontal="center" vertical="center" wrapText="1"/>
    </xf>
    <xf numFmtId="0" fontId="39" fillId="17" borderId="4" xfId="0" applyFont="1" applyFill="1" applyBorder="1" applyAlignment="1">
      <alignment horizontal="center" vertical="center"/>
    </xf>
    <xf numFmtId="0" fontId="28" fillId="0" borderId="19" xfId="0" applyFont="1" applyFill="1" applyBorder="1" applyAlignment="1">
      <alignment horizontal="center" vertical="center" wrapText="1"/>
    </xf>
    <xf numFmtId="0" fontId="28" fillId="0" borderId="34" xfId="0" applyFont="1" applyFill="1" applyBorder="1" applyAlignment="1">
      <alignment horizontal="center" vertical="center" wrapText="1"/>
    </xf>
    <xf numFmtId="0" fontId="28" fillId="4" borderId="5" xfId="0" applyFont="1" applyFill="1" applyBorder="1" applyAlignment="1">
      <alignment horizontal="center" vertical="center" wrapText="1"/>
    </xf>
    <xf numFmtId="0" fontId="28" fillId="0" borderId="43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 wrapText="1"/>
    </xf>
    <xf numFmtId="0" fontId="28" fillId="0" borderId="22" xfId="0" applyFont="1" applyFill="1" applyBorder="1" applyAlignment="1">
      <alignment horizontal="center" vertical="center" wrapText="1"/>
    </xf>
    <xf numFmtId="0" fontId="39" fillId="12" borderId="21" xfId="0" applyFont="1" applyFill="1" applyBorder="1" applyAlignment="1">
      <alignment horizontal="center" vertical="center" wrapText="1"/>
    </xf>
    <xf numFmtId="0" fontId="28" fillId="0" borderId="48" xfId="0" applyFont="1" applyFill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 wrapText="1"/>
    </xf>
    <xf numFmtId="0" fontId="51" fillId="5" borderId="17" xfId="0" applyFont="1" applyFill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/>
    </xf>
    <xf numFmtId="0" fontId="25" fillId="0" borderId="69" xfId="0" applyFont="1" applyBorder="1" applyAlignment="1">
      <alignment horizontal="center" vertical="center" wrapText="1"/>
    </xf>
    <xf numFmtId="9" fontId="25" fillId="4" borderId="32" xfId="0" applyNumberFormat="1" applyFont="1" applyFill="1" applyBorder="1" applyAlignment="1">
      <alignment horizontal="center"/>
    </xf>
    <xf numFmtId="0" fontId="12" fillId="0" borderId="7" xfId="0" applyFont="1" applyBorder="1"/>
    <xf numFmtId="0" fontId="33" fillId="3" borderId="70" xfId="0" applyFont="1" applyFill="1" applyBorder="1" applyAlignment="1">
      <alignment horizontal="center" vertical="center"/>
    </xf>
    <xf numFmtId="0" fontId="34" fillId="3" borderId="21" xfId="0" applyFont="1" applyFill="1" applyBorder="1" applyAlignment="1">
      <alignment horizontal="center" vertical="center"/>
    </xf>
    <xf numFmtId="0" fontId="0" fillId="0" borderId="7" xfId="0" applyBorder="1"/>
    <xf numFmtId="0" fontId="25" fillId="3" borderId="62" xfId="0" applyFont="1" applyFill="1" applyBorder="1" applyAlignment="1">
      <alignment horizontal="center" vertical="center" wrapText="1"/>
    </xf>
    <xf numFmtId="0" fontId="0" fillId="0" borderId="41" xfId="0" applyBorder="1"/>
    <xf numFmtId="0" fontId="0" fillId="2" borderId="36" xfId="0" applyFill="1" applyBorder="1" applyAlignment="1"/>
    <xf numFmtId="0" fontId="108" fillId="0" borderId="41" xfId="0" applyFont="1" applyBorder="1" applyAlignment="1">
      <alignment horizontal="center" vertical="center" wrapText="1"/>
    </xf>
    <xf numFmtId="0" fontId="0" fillId="4" borderId="14" xfId="0" applyFill="1" applyBorder="1" applyAlignment="1"/>
    <xf numFmtId="0" fontId="0" fillId="4" borderId="35" xfId="0" applyFill="1" applyBorder="1" applyAlignment="1"/>
    <xf numFmtId="9" fontId="109" fillId="0" borderId="4" xfId="0" applyNumberFormat="1" applyFont="1" applyFill="1" applyBorder="1" applyAlignment="1">
      <alignment horizontal="center" vertical="center"/>
    </xf>
    <xf numFmtId="9" fontId="109" fillId="0" borderId="2" xfId="0" applyNumberFormat="1" applyFont="1" applyFill="1" applyBorder="1" applyAlignment="1">
      <alignment horizontal="center" vertical="center"/>
    </xf>
    <xf numFmtId="9" fontId="30" fillId="0" borderId="4" xfId="0" applyNumberFormat="1" applyFont="1" applyFill="1" applyBorder="1" applyAlignment="1">
      <alignment horizontal="center" vertical="center"/>
    </xf>
    <xf numFmtId="0" fontId="0" fillId="0" borderId="36" xfId="0" applyBorder="1" applyAlignment="1"/>
    <xf numFmtId="0" fontId="0" fillId="4" borderId="40" xfId="0" applyFill="1" applyBorder="1" applyAlignment="1"/>
    <xf numFmtId="0" fontId="0" fillId="4" borderId="71" xfId="0" applyFill="1" applyBorder="1" applyAlignment="1"/>
    <xf numFmtId="0" fontId="110" fillId="3" borderId="15" xfId="0" applyFont="1" applyFill="1" applyBorder="1" applyAlignment="1">
      <alignment horizontal="center" vertical="center"/>
    </xf>
    <xf numFmtId="0" fontId="67" fillId="3" borderId="15" xfId="0" applyFont="1" applyFill="1" applyBorder="1" applyAlignment="1">
      <alignment horizontal="center" vertical="center"/>
    </xf>
    <xf numFmtId="9" fontId="111" fillId="3" borderId="15" xfId="0" applyNumberFormat="1" applyFont="1" applyFill="1" applyBorder="1" applyAlignment="1">
      <alignment horizontal="center" vertical="center"/>
    </xf>
    <xf numFmtId="9" fontId="31" fillId="0" borderId="15" xfId="0" applyNumberFormat="1" applyFont="1" applyBorder="1" applyAlignment="1">
      <alignment horizontal="center" vertical="center"/>
    </xf>
    <xf numFmtId="9" fontId="31" fillId="2" borderId="15" xfId="0" applyNumberFormat="1" applyFont="1" applyFill="1" applyBorder="1" applyAlignment="1">
      <alignment horizontal="center" vertical="center"/>
    </xf>
    <xf numFmtId="9" fontId="31" fillId="3" borderId="3" xfId="0" applyNumberFormat="1" applyFont="1" applyFill="1" applyBorder="1" applyAlignment="1">
      <alignment horizontal="center" vertical="center" wrapText="1"/>
    </xf>
    <xf numFmtId="9" fontId="81" fillId="4" borderId="72" xfId="0" applyNumberFormat="1" applyFont="1" applyFill="1" applyBorder="1" applyAlignment="1">
      <alignment horizontal="center" vertical="center" wrapText="1"/>
    </xf>
    <xf numFmtId="9" fontId="81" fillId="4" borderId="73" xfId="0" applyNumberFormat="1" applyFont="1" applyFill="1" applyBorder="1" applyAlignment="1">
      <alignment horizontal="center" vertical="center" wrapText="1"/>
    </xf>
    <xf numFmtId="9" fontId="31" fillId="4" borderId="19" xfId="0" applyNumberFormat="1" applyFont="1" applyFill="1" applyBorder="1" applyAlignment="1">
      <alignment horizontal="center" vertical="center" wrapText="1"/>
    </xf>
    <xf numFmtId="9" fontId="81" fillId="3" borderId="4" xfId="0" applyNumberFormat="1" applyFont="1" applyFill="1" applyBorder="1" applyAlignment="1">
      <alignment horizontal="center" vertical="center" wrapText="1"/>
    </xf>
    <xf numFmtId="9" fontId="31" fillId="4" borderId="52" xfId="0" applyNumberFormat="1" applyFont="1" applyFill="1" applyBorder="1" applyAlignment="1">
      <alignment horizontal="center" vertical="center" wrapText="1"/>
    </xf>
    <xf numFmtId="9" fontId="31" fillId="4" borderId="7" xfId="0" applyNumberFormat="1" applyFont="1" applyFill="1" applyBorder="1" applyAlignment="1">
      <alignment horizontal="center" vertical="center" wrapText="1"/>
    </xf>
    <xf numFmtId="0" fontId="110" fillId="0" borderId="0" xfId="0" applyFont="1" applyAlignment="1">
      <alignment vertical="center"/>
    </xf>
    <xf numFmtId="1" fontId="25" fillId="3" borderId="10" xfId="0" applyNumberFormat="1" applyFont="1" applyFill="1" applyBorder="1" applyAlignment="1">
      <alignment horizontal="center"/>
    </xf>
    <xf numFmtId="9" fontId="25" fillId="3" borderId="4" xfId="0" applyNumberFormat="1" applyFont="1" applyFill="1" applyBorder="1" applyAlignment="1">
      <alignment horizontal="center"/>
    </xf>
    <xf numFmtId="1" fontId="25" fillId="3" borderId="21" xfId="0" applyNumberFormat="1" applyFont="1" applyFill="1" applyBorder="1" applyAlignment="1">
      <alignment horizontal="center"/>
    </xf>
    <xf numFmtId="1" fontId="25" fillId="3" borderId="5" xfId="0" applyNumberFormat="1" applyFont="1" applyFill="1" applyBorder="1" applyAlignment="1">
      <alignment horizontal="center"/>
    </xf>
    <xf numFmtId="0" fontId="25" fillId="3" borderId="0" xfId="0" applyFont="1" applyFill="1" applyBorder="1" applyAlignment="1">
      <alignment horizontal="center"/>
    </xf>
    <xf numFmtId="9" fontId="27" fillId="4" borderId="2" xfId="0" applyNumberFormat="1" applyFont="1" applyFill="1" applyBorder="1" applyAlignment="1">
      <alignment horizontal="center" vertical="center"/>
    </xf>
    <xf numFmtId="0" fontId="35" fillId="0" borderId="0" xfId="0" applyFont="1" applyAlignment="1"/>
    <xf numFmtId="0" fontId="25" fillId="0" borderId="23" xfId="0" applyFont="1" applyFill="1" applyBorder="1" applyAlignment="1">
      <alignment horizontal="center" vertical="center"/>
    </xf>
    <xf numFmtId="9" fontId="25" fillId="4" borderId="2" xfId="0" applyNumberFormat="1" applyFont="1" applyFill="1" applyBorder="1" applyAlignment="1">
      <alignment horizontal="center" vertical="center"/>
    </xf>
    <xf numFmtId="9" fontId="25" fillId="4" borderId="5" xfId="0" applyNumberFormat="1" applyFont="1" applyFill="1" applyBorder="1" applyAlignment="1">
      <alignment horizontal="center" vertical="center"/>
    </xf>
    <xf numFmtId="0" fontId="25" fillId="3" borderId="7" xfId="0" applyFont="1" applyFill="1" applyBorder="1" applyAlignment="1">
      <alignment horizontal="center"/>
    </xf>
    <xf numFmtId="9" fontId="25" fillId="4" borderId="74" xfId="0" applyNumberFormat="1" applyFont="1" applyFill="1" applyBorder="1" applyAlignment="1">
      <alignment horizontal="center"/>
    </xf>
    <xf numFmtId="0" fontId="33" fillId="4" borderId="3" xfId="0" applyFont="1" applyFill="1" applyBorder="1" applyAlignment="1">
      <alignment horizontal="center"/>
    </xf>
    <xf numFmtId="9" fontId="33" fillId="4" borderId="3" xfId="0" applyNumberFormat="1" applyFont="1" applyFill="1" applyBorder="1" applyAlignment="1">
      <alignment horizontal="center"/>
    </xf>
    <xf numFmtId="9" fontId="25" fillId="3" borderId="7" xfId="0" applyNumberFormat="1" applyFont="1" applyFill="1" applyBorder="1" applyAlignment="1">
      <alignment horizontal="center"/>
    </xf>
    <xf numFmtId="0" fontId="0" fillId="2" borderId="69" xfId="0" applyFill="1" applyBorder="1" applyAlignment="1"/>
    <xf numFmtId="0" fontId="33" fillId="3" borderId="75" xfId="0" applyFont="1" applyFill="1" applyBorder="1" applyAlignment="1">
      <alignment horizontal="center" vertical="center"/>
    </xf>
    <xf numFmtId="0" fontId="33" fillId="3" borderId="59" xfId="0" applyFont="1" applyFill="1" applyBorder="1" applyAlignment="1">
      <alignment horizontal="center" vertical="center"/>
    </xf>
    <xf numFmtId="1" fontId="25" fillId="0" borderId="32" xfId="0" applyNumberFormat="1" applyFont="1" applyFill="1" applyBorder="1" applyAlignment="1">
      <alignment horizontal="center" vertical="center"/>
    </xf>
    <xf numFmtId="9" fontId="56" fillId="4" borderId="38" xfId="0" applyNumberFormat="1" applyFont="1" applyFill="1" applyBorder="1" applyAlignment="1">
      <alignment horizontal="center" vertical="center"/>
    </xf>
    <xf numFmtId="9" fontId="56" fillId="0" borderId="36" xfId="0" applyNumberFormat="1" applyFont="1" applyFill="1" applyBorder="1" applyAlignment="1">
      <alignment horizontal="center" vertical="center"/>
    </xf>
    <xf numFmtId="9" fontId="56" fillId="0" borderId="40" xfId="0" applyNumberFormat="1" applyFont="1" applyFill="1" applyBorder="1" applyAlignment="1">
      <alignment horizontal="center" vertical="center"/>
    </xf>
    <xf numFmtId="9" fontId="56" fillId="7" borderId="40" xfId="0" applyNumberFormat="1" applyFont="1" applyFill="1" applyBorder="1" applyAlignment="1">
      <alignment horizontal="center" vertical="center"/>
    </xf>
    <xf numFmtId="9" fontId="56" fillId="0" borderId="41" xfId="2" applyFont="1" applyFill="1" applyBorder="1" applyAlignment="1">
      <alignment horizontal="center" vertical="center"/>
    </xf>
    <xf numFmtId="9" fontId="56" fillId="0" borderId="36" xfId="2" applyFont="1" applyFill="1" applyBorder="1" applyAlignment="1">
      <alignment horizontal="center" vertical="center"/>
    </xf>
    <xf numFmtId="9" fontId="56" fillId="0" borderId="40" xfId="2" applyFont="1" applyFill="1" applyBorder="1" applyAlignment="1">
      <alignment horizontal="center" vertical="center"/>
    </xf>
    <xf numFmtId="0" fontId="56" fillId="7" borderId="40" xfId="0" applyFont="1" applyFill="1" applyBorder="1" applyAlignment="1">
      <alignment horizontal="center" vertical="center"/>
    </xf>
    <xf numFmtId="9" fontId="56" fillId="4" borderId="76" xfId="0" applyNumberFormat="1" applyFont="1" applyFill="1" applyBorder="1" applyAlignment="1">
      <alignment horizontal="center" vertical="center"/>
    </xf>
    <xf numFmtId="9" fontId="56" fillId="4" borderId="77" xfId="0" applyNumberFormat="1" applyFont="1" applyFill="1" applyBorder="1" applyAlignment="1">
      <alignment horizontal="center" vertical="center"/>
    </xf>
    <xf numFmtId="9" fontId="56" fillId="4" borderId="78" xfId="0" applyNumberFormat="1" applyFont="1" applyFill="1" applyBorder="1" applyAlignment="1">
      <alignment horizontal="center" vertical="center"/>
    </xf>
    <xf numFmtId="9" fontId="70" fillId="7" borderId="4" xfId="0" applyNumberFormat="1" applyFont="1" applyFill="1" applyBorder="1" applyAlignment="1">
      <alignment horizontal="center" vertical="center"/>
    </xf>
    <xf numFmtId="9" fontId="70" fillId="7" borderId="5" xfId="0" applyNumberFormat="1" applyFont="1" applyFill="1" applyBorder="1" applyAlignment="1">
      <alignment horizontal="center" vertical="center"/>
    </xf>
    <xf numFmtId="1" fontId="56" fillId="7" borderId="40" xfId="0" applyNumberFormat="1" applyFont="1" applyFill="1" applyBorder="1" applyAlignment="1">
      <alignment horizontal="center" vertical="center"/>
    </xf>
    <xf numFmtId="0" fontId="84" fillId="7" borderId="21" xfId="0" applyFont="1" applyFill="1" applyBorder="1" applyAlignment="1">
      <alignment horizontal="center" vertical="center"/>
    </xf>
    <xf numFmtId="1" fontId="82" fillId="0" borderId="36" xfId="0" applyNumberFormat="1" applyFont="1" applyBorder="1" applyAlignment="1">
      <alignment horizontal="center" vertical="center"/>
    </xf>
    <xf numFmtId="9" fontId="82" fillId="4" borderId="36" xfId="0" applyNumberFormat="1" applyFont="1" applyFill="1" applyBorder="1" applyAlignment="1">
      <alignment horizontal="center" vertical="center"/>
    </xf>
    <xf numFmtId="1" fontId="33" fillId="0" borderId="41" xfId="0" applyNumberFormat="1" applyFont="1" applyFill="1" applyBorder="1" applyAlignment="1">
      <alignment horizontal="center"/>
    </xf>
    <xf numFmtId="9" fontId="33" fillId="0" borderId="41" xfId="0" applyNumberFormat="1" applyFont="1" applyFill="1" applyBorder="1" applyAlignment="1">
      <alignment horizontal="center"/>
    </xf>
    <xf numFmtId="0" fontId="33" fillId="0" borderId="41" xfId="0" applyFont="1" applyFill="1" applyBorder="1" applyAlignment="1">
      <alignment horizontal="center"/>
    </xf>
    <xf numFmtId="9" fontId="82" fillId="0" borderId="41" xfId="0" applyNumberFormat="1" applyFont="1" applyFill="1" applyBorder="1" applyAlignment="1">
      <alignment horizontal="center" vertical="center"/>
    </xf>
    <xf numFmtId="0" fontId="33" fillId="4" borderId="80" xfId="0" applyFont="1" applyFill="1" applyBorder="1" applyAlignment="1">
      <alignment horizontal="center"/>
    </xf>
    <xf numFmtId="9" fontId="33" fillId="4" borderId="81" xfId="0" applyNumberFormat="1" applyFont="1" applyFill="1" applyBorder="1" applyAlignment="1">
      <alignment horizontal="center"/>
    </xf>
    <xf numFmtId="1" fontId="33" fillId="4" borderId="81" xfId="0" applyNumberFormat="1" applyFont="1" applyFill="1" applyBorder="1" applyAlignment="1">
      <alignment horizontal="center"/>
    </xf>
    <xf numFmtId="9" fontId="82" fillId="4" borderId="82" xfId="0" applyNumberFormat="1" applyFont="1" applyFill="1" applyBorder="1" applyAlignment="1">
      <alignment horizontal="center" vertical="center"/>
    </xf>
    <xf numFmtId="0" fontId="25" fillId="7" borderId="2" xfId="0" applyFont="1" applyFill="1" applyBorder="1" applyAlignment="1">
      <alignment horizontal="center" vertical="center"/>
    </xf>
    <xf numFmtId="0" fontId="97" fillId="7" borderId="14" xfId="0" applyFont="1" applyFill="1" applyBorder="1" applyAlignment="1">
      <alignment horizontal="center" vertical="center" wrapText="1"/>
    </xf>
    <xf numFmtId="0" fontId="95" fillId="11" borderId="2" xfId="0" applyFont="1" applyFill="1" applyBorder="1" applyAlignment="1">
      <alignment horizontal="center" vertical="center" wrapText="1"/>
    </xf>
    <xf numFmtId="0" fontId="94" fillId="7" borderId="14" xfId="0" applyFont="1" applyFill="1" applyBorder="1" applyAlignment="1">
      <alignment horizontal="center" vertical="center" wrapText="1"/>
    </xf>
    <xf numFmtId="0" fontId="112" fillId="0" borderId="17" xfId="0" applyFont="1" applyFill="1" applyBorder="1" applyAlignment="1">
      <alignment horizontal="center"/>
    </xf>
    <xf numFmtId="0" fontId="107" fillId="12" borderId="24" xfId="0" applyFont="1" applyFill="1" applyBorder="1" applyAlignment="1">
      <alignment horizontal="center" vertical="center" wrapText="1"/>
    </xf>
    <xf numFmtId="0" fontId="94" fillId="7" borderId="2" xfId="0" applyFont="1" applyFill="1" applyBorder="1" applyAlignment="1">
      <alignment horizontal="center" vertical="center" wrapText="1"/>
    </xf>
    <xf numFmtId="0" fontId="95" fillId="16" borderId="2" xfId="0" applyFont="1" applyFill="1" applyBorder="1" applyAlignment="1">
      <alignment horizontal="center" vertical="center"/>
    </xf>
    <xf numFmtId="0" fontId="96" fillId="7" borderId="2" xfId="0" applyFont="1" applyFill="1" applyBorder="1" applyAlignment="1">
      <alignment horizontal="center" vertical="center"/>
    </xf>
    <xf numFmtId="0" fontId="95" fillId="17" borderId="2" xfId="0" applyFont="1" applyFill="1" applyBorder="1" applyAlignment="1">
      <alignment horizontal="center" vertical="center"/>
    </xf>
    <xf numFmtId="0" fontId="35" fillId="0" borderId="0" xfId="0" applyFont="1" applyBorder="1" applyAlignment="1">
      <alignment horizontal="center"/>
    </xf>
    <xf numFmtId="9" fontId="63" fillId="3" borderId="10" xfId="0" applyNumberFormat="1" applyFont="1" applyFill="1" applyBorder="1" applyAlignment="1">
      <alignment horizontal="center" vertical="center"/>
    </xf>
    <xf numFmtId="0" fontId="109" fillId="4" borderId="33" xfId="0" applyFont="1" applyFill="1" applyBorder="1" applyAlignment="1">
      <alignment horizontal="center" vertical="center"/>
    </xf>
    <xf numFmtId="9" fontId="25" fillId="4" borderId="10" xfId="0" applyNumberFormat="1" applyFont="1" applyFill="1" applyBorder="1" applyAlignment="1">
      <alignment horizontal="center"/>
    </xf>
    <xf numFmtId="9" fontId="25" fillId="4" borderId="10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46" fillId="13" borderId="15" xfId="0" applyFont="1" applyFill="1" applyBorder="1" applyAlignment="1">
      <alignment horizontal="center" vertical="center" wrapText="1"/>
    </xf>
    <xf numFmtId="0" fontId="0" fillId="0" borderId="85" xfId="0" applyBorder="1"/>
    <xf numFmtId="0" fontId="67" fillId="2" borderId="15" xfId="0" applyFont="1" applyFill="1" applyBorder="1" applyAlignment="1">
      <alignment horizontal="center" vertical="center"/>
    </xf>
    <xf numFmtId="0" fontId="110" fillId="2" borderId="15" xfId="0" applyFont="1" applyFill="1" applyBorder="1" applyAlignment="1">
      <alignment horizontal="center" vertical="center"/>
    </xf>
    <xf numFmtId="0" fontId="28" fillId="2" borderId="15" xfId="0" applyFont="1" applyFill="1" applyBorder="1" applyAlignment="1">
      <alignment horizontal="center" vertical="center"/>
    </xf>
    <xf numFmtId="0" fontId="29" fillId="0" borderId="83" xfId="0" applyFont="1" applyBorder="1" applyAlignment="1">
      <alignment horizontal="center"/>
    </xf>
    <xf numFmtId="0" fontId="24" fillId="0" borderId="15" xfId="0" applyFont="1" applyBorder="1"/>
    <xf numFmtId="0" fontId="29" fillId="3" borderId="83" xfId="0" applyFont="1" applyFill="1" applyBorder="1" applyAlignment="1">
      <alignment horizontal="center"/>
    </xf>
    <xf numFmtId="0" fontId="121" fillId="3" borderId="15" xfId="0" applyFont="1" applyFill="1" applyBorder="1"/>
    <xf numFmtId="0" fontId="29" fillId="0" borderId="83" xfId="0" applyFont="1" applyBorder="1" applyAlignment="1">
      <alignment horizontal="center" vertical="center"/>
    </xf>
    <xf numFmtId="0" fontId="24" fillId="0" borderId="15" xfId="0" applyFont="1" applyBorder="1" applyAlignment="1">
      <alignment wrapText="1"/>
    </xf>
    <xf numFmtId="0" fontId="24" fillId="0" borderId="15" xfId="0" applyFont="1" applyBorder="1" applyAlignment="1">
      <alignment vertical="center" wrapText="1"/>
    </xf>
    <xf numFmtId="0" fontId="29" fillId="3" borderId="83" xfId="0" applyFont="1" applyFill="1" applyBorder="1" applyAlignment="1">
      <alignment horizontal="center" vertical="center"/>
    </xf>
    <xf numFmtId="0" fontId="121" fillId="3" borderId="15" xfId="0" applyFont="1" applyFill="1" applyBorder="1" applyAlignment="1">
      <alignment vertical="center"/>
    </xf>
    <xf numFmtId="9" fontId="29" fillId="2" borderId="23" xfId="0" applyNumberFormat="1" applyFont="1" applyFill="1" applyBorder="1" applyAlignment="1">
      <alignment horizontal="center"/>
    </xf>
    <xf numFmtId="9" fontId="29" fillId="2" borderId="7" xfId="0" applyNumberFormat="1" applyFont="1" applyFill="1" applyBorder="1" applyAlignment="1">
      <alignment horizontal="center"/>
    </xf>
    <xf numFmtId="9" fontId="5" fillId="0" borderId="7" xfId="0" applyNumberFormat="1" applyFont="1" applyBorder="1" applyAlignment="1">
      <alignment horizontal="center"/>
    </xf>
    <xf numFmtId="9" fontId="5" fillId="0" borderId="7" xfId="0" applyNumberFormat="1" applyFont="1" applyFill="1" applyBorder="1" applyAlignment="1">
      <alignment horizontal="center"/>
    </xf>
    <xf numFmtId="0" fontId="49" fillId="4" borderId="14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46" fillId="0" borderId="9" xfId="0" applyFont="1" applyBorder="1"/>
    <xf numFmtId="0" fontId="48" fillId="0" borderId="1" xfId="0" applyFont="1" applyBorder="1" applyAlignment="1">
      <alignment horizontal="center"/>
    </xf>
    <xf numFmtId="0" fontId="122" fillId="15" borderId="15" xfId="0" applyFont="1" applyFill="1" applyBorder="1" applyAlignment="1">
      <alignment horizontal="center" vertical="center" wrapText="1"/>
    </xf>
    <xf numFmtId="0" fontId="122" fillId="10" borderId="15" xfId="0" applyFont="1" applyFill="1" applyBorder="1" applyAlignment="1">
      <alignment horizontal="center" vertical="center" wrapText="1"/>
    </xf>
    <xf numFmtId="0" fontId="48" fillId="2" borderId="0" xfId="0" applyFont="1" applyFill="1"/>
    <xf numFmtId="0" fontId="123" fillId="3" borderId="5" xfId="0" applyFont="1" applyFill="1" applyBorder="1" applyAlignment="1">
      <alignment horizontal="center" vertical="center" wrapText="1"/>
    </xf>
    <xf numFmtId="0" fontId="124" fillId="11" borderId="4" xfId="0" applyFont="1" applyFill="1" applyBorder="1" applyAlignment="1">
      <alignment horizontal="center" vertical="center" wrapText="1"/>
    </xf>
    <xf numFmtId="0" fontId="29" fillId="4" borderId="5" xfId="0" applyFont="1" applyFill="1" applyBorder="1" applyAlignment="1">
      <alignment horizontal="center" vertical="center" wrapText="1"/>
    </xf>
    <xf numFmtId="0" fontId="124" fillId="12" borderId="21" xfId="0" applyFont="1" applyFill="1" applyBorder="1" applyAlignment="1">
      <alignment horizontal="center" vertical="center" wrapText="1"/>
    </xf>
    <xf numFmtId="0" fontId="29" fillId="4" borderId="4" xfId="0" applyFont="1" applyFill="1" applyBorder="1" applyAlignment="1">
      <alignment horizontal="center" vertical="center" wrapText="1"/>
    </xf>
    <xf numFmtId="0" fontId="124" fillId="16" borderId="4" xfId="0" applyFont="1" applyFill="1" applyBorder="1" applyAlignment="1">
      <alignment horizontal="center" vertical="center"/>
    </xf>
    <xf numFmtId="0" fontId="29" fillId="3" borderId="4" xfId="0" applyFont="1" applyFill="1" applyBorder="1" applyAlignment="1">
      <alignment horizontal="center" vertical="center" wrapText="1"/>
    </xf>
    <xf numFmtId="0" fontId="124" fillId="17" borderId="4" xfId="0" applyFont="1" applyFill="1" applyBorder="1" applyAlignment="1">
      <alignment horizontal="center" vertical="center"/>
    </xf>
    <xf numFmtId="0" fontId="125" fillId="2" borderId="15" xfId="0" applyFont="1" applyFill="1" applyBorder="1" applyAlignment="1">
      <alignment horizontal="center" wrapText="1"/>
    </xf>
    <xf numFmtId="0" fontId="125" fillId="9" borderId="15" xfId="0" applyFont="1" applyFill="1" applyBorder="1" applyAlignment="1">
      <alignment horizontal="center" textRotation="90" wrapText="1"/>
    </xf>
    <xf numFmtId="0" fontId="125" fillId="3" borderId="15" xfId="0" applyFont="1" applyFill="1" applyBorder="1" applyAlignment="1">
      <alignment horizontal="center" wrapText="1"/>
    </xf>
    <xf numFmtId="0" fontId="125" fillId="3" borderId="15" xfId="0" applyFont="1" applyFill="1" applyBorder="1" applyAlignment="1">
      <alignment horizontal="center" vertical="center" wrapText="1"/>
    </xf>
    <xf numFmtId="0" fontId="125" fillId="5" borderId="15" xfId="0" applyFont="1" applyFill="1" applyBorder="1" applyAlignment="1">
      <alignment horizontal="center" textRotation="90" wrapText="1"/>
    </xf>
    <xf numFmtId="0" fontId="125" fillId="13" borderId="15" xfId="0" applyFont="1" applyFill="1" applyBorder="1" applyAlignment="1">
      <alignment horizontal="center" textRotation="90" wrapText="1"/>
    </xf>
    <xf numFmtId="0" fontId="125" fillId="15" borderId="15" xfId="0" applyFont="1" applyFill="1" applyBorder="1" applyAlignment="1">
      <alignment horizontal="center" textRotation="90" wrapText="1"/>
    </xf>
    <xf numFmtId="0" fontId="125" fillId="10" borderId="15" xfId="0" applyFont="1" applyFill="1" applyBorder="1" applyAlignment="1">
      <alignment horizontal="center" textRotation="90" wrapText="1"/>
    </xf>
    <xf numFmtId="0" fontId="6" fillId="2" borderId="0" xfId="0" applyFont="1" applyFill="1"/>
    <xf numFmtId="0" fontId="6" fillId="0" borderId="0" xfId="0" applyFont="1"/>
    <xf numFmtId="0" fontId="27" fillId="0" borderId="32" xfId="0" applyFont="1" applyFill="1" applyBorder="1" applyAlignment="1">
      <alignment horizontal="center" vertical="center" wrapText="1"/>
    </xf>
    <xf numFmtId="0" fontId="27" fillId="0" borderId="44" xfId="0" applyFont="1" applyFill="1" applyBorder="1" applyAlignment="1">
      <alignment horizontal="center" vertical="center" wrapText="1"/>
    </xf>
    <xf numFmtId="0" fontId="27" fillId="0" borderId="31" xfId="0" applyFont="1" applyFill="1" applyBorder="1" applyAlignment="1">
      <alignment horizontal="center" vertical="center" wrapText="1"/>
    </xf>
    <xf numFmtId="0" fontId="25" fillId="9" borderId="15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0" fontId="25" fillId="5" borderId="15" xfId="0" applyFont="1" applyFill="1" applyBorder="1" applyAlignment="1">
      <alignment horizontal="center" vertical="center" wrapText="1"/>
    </xf>
    <xf numFmtId="0" fontId="25" fillId="13" borderId="15" xfId="0" applyFont="1" applyFill="1" applyBorder="1" applyAlignment="1">
      <alignment horizontal="center" vertical="center" wrapText="1"/>
    </xf>
    <xf numFmtId="0" fontId="25" fillId="10" borderId="15" xfId="0" applyFont="1" applyFill="1" applyBorder="1" applyAlignment="1">
      <alignment horizontal="center" vertical="center" wrapText="1"/>
    </xf>
    <xf numFmtId="0" fontId="25" fillId="15" borderId="15" xfId="0" applyFont="1" applyFill="1" applyBorder="1" applyAlignment="1">
      <alignment horizontal="center" vertical="center"/>
    </xf>
    <xf numFmtId="0" fontId="25" fillId="10" borderId="15" xfId="0" applyFont="1" applyFill="1" applyBorder="1" applyAlignment="1">
      <alignment horizontal="center" vertical="center"/>
    </xf>
    <xf numFmtId="0" fontId="25" fillId="5" borderId="15" xfId="0" applyFont="1" applyFill="1" applyBorder="1" applyAlignment="1">
      <alignment horizontal="center" vertical="center"/>
    </xf>
    <xf numFmtId="0" fontId="94" fillId="7" borderId="15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0" fillId="4" borderId="0" xfId="0" applyFill="1" applyAlignment="1">
      <alignment vertical="center"/>
    </xf>
    <xf numFmtId="0" fontId="47" fillId="0" borderId="15" xfId="0" applyFont="1" applyBorder="1" applyAlignment="1">
      <alignment horizontal="center" vertical="center" wrapText="1"/>
    </xf>
    <xf numFmtId="0" fontId="49" fillId="0" borderId="15" xfId="0" applyFont="1" applyBorder="1" applyAlignment="1">
      <alignment horizontal="center" vertical="center" wrapText="1"/>
    </xf>
    <xf numFmtId="0" fontId="46" fillId="2" borderId="86" xfId="0" applyFont="1" applyFill="1" applyBorder="1" applyAlignment="1">
      <alignment horizontal="center" vertical="center" wrapText="1"/>
    </xf>
    <xf numFmtId="0" fontId="46" fillId="2" borderId="0" xfId="0" applyFont="1" applyFill="1" applyBorder="1" applyAlignment="1">
      <alignment horizontal="center" vertical="center" wrapText="1"/>
    </xf>
    <xf numFmtId="0" fontId="0" fillId="0" borderId="88" xfId="0" applyBorder="1"/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1" fillId="2" borderId="92" xfId="0" applyFont="1" applyFill="1" applyBorder="1" applyAlignment="1">
      <alignment horizontal="center" vertical="center" wrapText="1"/>
    </xf>
    <xf numFmtId="0" fontId="29" fillId="5" borderId="94" xfId="0" applyFont="1" applyFill="1" applyBorder="1" applyAlignment="1">
      <alignment horizontal="center" vertical="center" wrapText="1"/>
    </xf>
    <xf numFmtId="0" fontId="29" fillId="5" borderId="95" xfId="0" applyFont="1" applyFill="1" applyBorder="1" applyAlignment="1">
      <alignment horizontal="center" vertical="center" wrapText="1"/>
    </xf>
    <xf numFmtId="0" fontId="28" fillId="0" borderId="96" xfId="0" applyFont="1" applyFill="1" applyBorder="1" applyAlignment="1">
      <alignment horizontal="center" vertical="center" wrapText="1"/>
    </xf>
    <xf numFmtId="0" fontId="28" fillId="0" borderId="98" xfId="0" applyFont="1" applyFill="1" applyBorder="1" applyAlignment="1">
      <alignment horizontal="center" vertical="center" wrapText="1"/>
    </xf>
    <xf numFmtId="0" fontId="28" fillId="0" borderId="101" xfId="0" applyFont="1" applyFill="1" applyBorder="1" applyAlignment="1">
      <alignment horizontal="center" vertical="center" wrapText="1"/>
    </xf>
    <xf numFmtId="0" fontId="28" fillId="14" borderId="7" xfId="0" applyFont="1" applyFill="1" applyBorder="1" applyAlignment="1">
      <alignment horizontal="center" vertical="center" wrapText="1"/>
    </xf>
    <xf numFmtId="0" fontId="128" fillId="0" borderId="0" xfId="0" applyFont="1" applyAlignment="1">
      <alignment horizontal="center"/>
    </xf>
    <xf numFmtId="0" fontId="129" fillId="0" borderId="0" xfId="0" applyFont="1"/>
    <xf numFmtId="0" fontId="130" fillId="0" borderId="0" xfId="0" applyFont="1"/>
    <xf numFmtId="165" fontId="29" fillId="2" borderId="23" xfId="0" applyNumberFormat="1" applyFont="1" applyFill="1" applyBorder="1" applyAlignment="1">
      <alignment horizontal="center"/>
    </xf>
    <xf numFmtId="0" fontId="115" fillId="0" borderId="0" xfId="0" applyFont="1" applyAlignment="1">
      <alignment horizontal="center" vertical="center"/>
    </xf>
    <xf numFmtId="1" fontId="25" fillId="0" borderId="7" xfId="0" applyNumberFormat="1" applyFont="1" applyFill="1" applyBorder="1" applyAlignment="1">
      <alignment horizontal="center"/>
    </xf>
    <xf numFmtId="0" fontId="104" fillId="0" borderId="0" xfId="0" applyFont="1" applyAlignment="1">
      <alignment horizontal="left" vertical="center"/>
    </xf>
    <xf numFmtId="0" fontId="63" fillId="3" borderId="5" xfId="0" applyFont="1" applyFill="1" applyBorder="1" applyAlignment="1">
      <alignment horizontal="center" vertical="center"/>
    </xf>
    <xf numFmtId="9" fontId="33" fillId="4" borderId="7" xfId="0" applyNumberFormat="1" applyFont="1" applyFill="1" applyBorder="1" applyAlignment="1">
      <alignment horizontal="center" vertical="center"/>
    </xf>
    <xf numFmtId="0" fontId="58" fillId="3" borderId="104" xfId="0" applyFont="1" applyFill="1" applyBorder="1" applyAlignment="1">
      <alignment horizontal="center"/>
    </xf>
    <xf numFmtId="0" fontId="58" fillId="3" borderId="105" xfId="0" applyFont="1" applyFill="1" applyBorder="1" applyAlignment="1">
      <alignment horizontal="center"/>
    </xf>
    <xf numFmtId="0" fontId="63" fillId="3" borderId="106" xfId="0" applyFont="1" applyFill="1" applyBorder="1" applyAlignment="1">
      <alignment horizontal="center" vertical="center"/>
    </xf>
    <xf numFmtId="0" fontId="58" fillId="3" borderId="105" xfId="0" applyFont="1" applyFill="1" applyBorder="1"/>
    <xf numFmtId="0" fontId="57" fillId="0" borderId="0" xfId="0" applyFont="1" applyFill="1" applyBorder="1" applyAlignment="1">
      <alignment horizontal="center"/>
    </xf>
    <xf numFmtId="0" fontId="63" fillId="0" borderId="0" xfId="0" applyFont="1" applyFill="1" applyBorder="1" applyAlignment="1">
      <alignment horizontal="center" vertical="center"/>
    </xf>
    <xf numFmtId="9" fontId="58" fillId="4" borderId="7" xfId="0" applyNumberFormat="1" applyFont="1" applyFill="1" applyBorder="1" applyAlignment="1">
      <alignment horizontal="center"/>
    </xf>
    <xf numFmtId="9" fontId="65" fillId="0" borderId="7" xfId="0" applyNumberFormat="1" applyFont="1" applyBorder="1" applyAlignment="1">
      <alignment horizontal="center"/>
    </xf>
    <xf numFmtId="1" fontId="25" fillId="0" borderId="31" xfId="0" applyNumberFormat="1" applyFont="1" applyFill="1" applyBorder="1" applyAlignment="1">
      <alignment horizontal="center" vertical="center"/>
    </xf>
    <xf numFmtId="1" fontId="25" fillId="0" borderId="11" xfId="0" applyNumberFormat="1" applyFont="1" applyFill="1" applyBorder="1" applyAlignment="1">
      <alignment horizontal="center" vertical="center"/>
    </xf>
    <xf numFmtId="0" fontId="26" fillId="4" borderId="146" xfId="0" applyFont="1" applyFill="1" applyBorder="1" applyAlignment="1">
      <alignment horizontal="center" vertical="center"/>
    </xf>
    <xf numFmtId="0" fontId="26" fillId="4" borderId="147" xfId="0" applyFont="1" applyFill="1" applyBorder="1" applyAlignment="1">
      <alignment horizontal="center" vertical="center"/>
    </xf>
    <xf numFmtId="9" fontId="24" fillId="0" borderId="148" xfId="0" applyNumberFormat="1" applyFont="1" applyFill="1" applyBorder="1" applyAlignment="1">
      <alignment horizontal="center" vertical="center"/>
    </xf>
    <xf numFmtId="0" fontId="29" fillId="2" borderId="149" xfId="0" applyFont="1" applyFill="1" applyBorder="1" applyAlignment="1">
      <alignment horizontal="center" vertical="center" wrapText="1"/>
    </xf>
    <xf numFmtId="0" fontId="28" fillId="2" borderId="150" xfId="0" applyFont="1" applyFill="1" applyBorder="1" applyAlignment="1">
      <alignment horizontal="center" vertical="center" wrapText="1"/>
    </xf>
    <xf numFmtId="0" fontId="124" fillId="2" borderId="0" xfId="0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 wrapText="1"/>
    </xf>
    <xf numFmtId="0" fontId="24" fillId="3" borderId="4" xfId="0" applyFont="1" applyFill="1" applyBorder="1" applyAlignment="1">
      <alignment horizontal="center" vertical="center" wrapText="1"/>
    </xf>
    <xf numFmtId="0" fontId="24" fillId="4" borderId="21" xfId="0" applyFont="1" applyFill="1" applyBorder="1" applyAlignment="1">
      <alignment horizontal="center" vertical="center" wrapText="1"/>
    </xf>
    <xf numFmtId="0" fontId="24" fillId="4" borderId="4" xfId="0" applyFont="1" applyFill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5" fillId="21" borderId="7" xfId="0" applyFont="1" applyFill="1" applyBorder="1" applyAlignment="1">
      <alignment horizontal="center" vertical="center"/>
    </xf>
    <xf numFmtId="9" fontId="25" fillId="21" borderId="7" xfId="0" applyNumberFormat="1" applyFont="1" applyFill="1" applyBorder="1" applyAlignment="1">
      <alignment horizontal="center" vertical="center"/>
    </xf>
    <xf numFmtId="0" fontId="26" fillId="3" borderId="2" xfId="0" applyFont="1" applyFill="1" applyBorder="1" applyAlignment="1">
      <alignment horizontal="center" vertical="center"/>
    </xf>
    <xf numFmtId="0" fontId="26" fillId="3" borderId="6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9" fontId="31" fillId="22" borderId="148" xfId="0" applyNumberFormat="1" applyFont="1" applyFill="1" applyBorder="1" applyAlignment="1">
      <alignment horizontal="center" vertical="center"/>
    </xf>
    <xf numFmtId="9" fontId="58" fillId="23" borderId="7" xfId="0" applyNumberFormat="1" applyFont="1" applyFill="1" applyBorder="1" applyAlignment="1">
      <alignment horizontal="center" vertical="center"/>
    </xf>
    <xf numFmtId="9" fontId="25" fillId="0" borderId="32" xfId="0" applyNumberFormat="1" applyFont="1" applyBorder="1" applyAlignment="1">
      <alignment horizontal="center"/>
    </xf>
    <xf numFmtId="9" fontId="25" fillId="23" borderId="7" xfId="0" applyNumberFormat="1" applyFont="1" applyFill="1" applyBorder="1" applyAlignment="1">
      <alignment horizontal="center" vertical="center"/>
    </xf>
    <xf numFmtId="9" fontId="25" fillId="0" borderId="31" xfId="2" applyFont="1" applyBorder="1" applyAlignment="1">
      <alignment horizontal="center"/>
    </xf>
    <xf numFmtId="9" fontId="25" fillId="22" borderId="0" xfId="0" applyNumberFormat="1" applyFont="1" applyFill="1" applyBorder="1" applyAlignment="1">
      <alignment horizontal="center" vertical="center"/>
    </xf>
    <xf numFmtId="9" fontId="25" fillId="22" borderId="7" xfId="0" applyNumberFormat="1" applyFont="1" applyFill="1" applyBorder="1" applyAlignment="1">
      <alignment horizontal="center" vertical="center"/>
    </xf>
    <xf numFmtId="0" fontId="26" fillId="3" borderId="2" xfId="0" applyFont="1" applyFill="1" applyBorder="1" applyAlignment="1">
      <alignment horizontal="center" vertical="center"/>
    </xf>
    <xf numFmtId="0" fontId="26" fillId="3" borderId="6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1" fontId="24" fillId="23" borderId="7" xfId="0" applyNumberFormat="1" applyFont="1" applyFill="1" applyBorder="1" applyAlignment="1">
      <alignment horizontal="center" vertical="center"/>
    </xf>
    <xf numFmtId="9" fontId="24" fillId="23" borderId="7" xfId="0" applyNumberFormat="1" applyFont="1" applyFill="1" applyBorder="1" applyAlignment="1">
      <alignment horizontal="center" vertical="center"/>
    </xf>
    <xf numFmtId="1" fontId="24" fillId="24" borderId="7" xfId="0" applyNumberFormat="1" applyFont="1" applyFill="1" applyBorder="1" applyAlignment="1">
      <alignment horizontal="center" vertical="center"/>
    </xf>
    <xf numFmtId="9" fontId="24" fillId="24" borderId="7" xfId="0" applyNumberFormat="1" applyFont="1" applyFill="1" applyBorder="1" applyAlignment="1">
      <alignment horizontal="center" vertical="center"/>
    </xf>
    <xf numFmtId="9" fontId="28" fillId="22" borderId="0" xfId="0" applyNumberFormat="1" applyFont="1" applyFill="1" applyBorder="1" applyAlignment="1">
      <alignment horizontal="center" vertical="center"/>
    </xf>
    <xf numFmtId="9" fontId="28" fillId="22" borderId="7" xfId="0" applyNumberFormat="1" applyFont="1" applyFill="1" applyBorder="1" applyAlignment="1">
      <alignment horizontal="center" vertical="center"/>
    </xf>
    <xf numFmtId="0" fontId="99" fillId="3" borderId="4" xfId="0" applyFont="1" applyFill="1" applyBorder="1" applyAlignment="1">
      <alignment horizontal="center" vertical="center"/>
    </xf>
    <xf numFmtId="1" fontId="28" fillId="3" borderId="4" xfId="0" applyNumberFormat="1" applyFont="1" applyFill="1" applyBorder="1" applyAlignment="1">
      <alignment horizontal="center" vertical="center"/>
    </xf>
    <xf numFmtId="0" fontId="99" fillId="3" borderId="0" xfId="0" applyFont="1" applyFill="1" applyBorder="1" applyAlignment="1">
      <alignment horizontal="center" vertical="center"/>
    </xf>
    <xf numFmtId="1" fontId="28" fillId="3" borderId="0" xfId="0" applyNumberFormat="1" applyFont="1" applyFill="1" applyBorder="1" applyAlignment="1">
      <alignment horizontal="center" vertical="center"/>
    </xf>
    <xf numFmtId="9" fontId="28" fillId="3" borderId="0" xfId="0" applyNumberFormat="1" applyFont="1" applyFill="1" applyBorder="1" applyAlignment="1">
      <alignment horizontal="center" vertical="center"/>
    </xf>
    <xf numFmtId="1" fontId="24" fillId="21" borderId="7" xfId="0" applyNumberFormat="1" applyFont="1" applyFill="1" applyBorder="1" applyAlignment="1">
      <alignment horizontal="center" vertical="center"/>
    </xf>
    <xf numFmtId="9" fontId="24" fillId="21" borderId="7" xfId="0" applyNumberFormat="1" applyFont="1" applyFill="1" applyBorder="1" applyAlignment="1">
      <alignment horizontal="center" vertical="center"/>
    </xf>
    <xf numFmtId="9" fontId="31" fillId="3" borderId="159" xfId="0" applyNumberFormat="1" applyFont="1" applyFill="1" applyBorder="1" applyAlignment="1">
      <alignment horizontal="center" vertical="center"/>
    </xf>
    <xf numFmtId="0" fontId="33" fillId="3" borderId="135" xfId="0" applyFont="1" applyFill="1" applyBorder="1" applyAlignment="1">
      <alignment horizontal="center" vertical="center" wrapText="1"/>
    </xf>
    <xf numFmtId="0" fontId="33" fillId="3" borderId="143" xfId="0" applyFont="1" applyFill="1" applyBorder="1" applyAlignment="1">
      <alignment horizontal="center" vertical="center" wrapText="1"/>
    </xf>
    <xf numFmtId="1" fontId="24" fillId="22" borderId="7" xfId="0" applyNumberFormat="1" applyFont="1" applyFill="1" applyBorder="1" applyAlignment="1">
      <alignment horizontal="center" vertical="center"/>
    </xf>
    <xf numFmtId="9" fontId="24" fillId="22" borderId="7" xfId="0" applyNumberFormat="1" applyFont="1" applyFill="1" applyBorder="1" applyAlignment="1">
      <alignment horizontal="center" vertical="center"/>
    </xf>
    <xf numFmtId="9" fontId="29" fillId="3" borderId="3" xfId="0" applyNumberFormat="1" applyFont="1" applyFill="1" applyBorder="1" applyAlignment="1">
      <alignment horizontal="center" vertical="center"/>
    </xf>
    <xf numFmtId="9" fontId="58" fillId="22" borderId="7" xfId="0" applyNumberFormat="1" applyFont="1" applyFill="1" applyBorder="1" applyAlignment="1">
      <alignment horizontal="center"/>
    </xf>
    <xf numFmtId="0" fontId="89" fillId="0" borderId="0" xfId="0" applyFont="1" applyBorder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9" fontId="25" fillId="0" borderId="0" xfId="0" applyNumberFormat="1" applyFont="1" applyFill="1" applyBorder="1" applyAlignment="1">
      <alignment horizontal="center" vertical="center"/>
    </xf>
    <xf numFmtId="0" fontId="29" fillId="3" borderId="5" xfId="0" applyFont="1" applyFill="1" applyBorder="1" applyAlignment="1">
      <alignment horizontal="center"/>
    </xf>
    <xf numFmtId="1" fontId="31" fillId="0" borderId="3" xfId="0" applyNumberFormat="1" applyFont="1" applyFill="1" applyBorder="1" applyAlignment="1">
      <alignment horizontal="center" vertical="center"/>
    </xf>
    <xf numFmtId="9" fontId="31" fillId="0" borderId="3" xfId="0" applyNumberFormat="1" applyFont="1" applyFill="1" applyBorder="1" applyAlignment="1">
      <alignment horizontal="center" vertical="center"/>
    </xf>
    <xf numFmtId="1" fontId="58" fillId="0" borderId="43" xfId="0" applyNumberFormat="1" applyFont="1" applyFill="1" applyBorder="1" applyAlignment="1">
      <alignment horizontal="center" vertical="center"/>
    </xf>
    <xf numFmtId="9" fontId="58" fillId="0" borderId="0" xfId="0" applyNumberFormat="1" applyFont="1" applyFill="1" applyBorder="1" applyAlignment="1">
      <alignment horizontal="center" vertical="center"/>
    </xf>
    <xf numFmtId="1" fontId="58" fillId="0" borderId="47" xfId="0" applyNumberFormat="1" applyFont="1" applyFill="1" applyBorder="1" applyAlignment="1">
      <alignment horizontal="center" vertical="center"/>
    </xf>
    <xf numFmtId="9" fontId="58" fillId="0" borderId="4" xfId="0" applyNumberFormat="1" applyFont="1" applyFill="1" applyBorder="1" applyAlignment="1">
      <alignment horizontal="center" vertical="center"/>
    </xf>
    <xf numFmtId="1" fontId="31" fillId="0" borderId="4" xfId="0" applyNumberFormat="1" applyFont="1" applyFill="1" applyBorder="1" applyAlignment="1">
      <alignment horizontal="center" vertical="center"/>
    </xf>
    <xf numFmtId="9" fontId="31" fillId="0" borderId="4" xfId="0" applyNumberFormat="1" applyFont="1" applyFill="1" applyBorder="1" applyAlignment="1">
      <alignment horizontal="center" vertical="center"/>
    </xf>
    <xf numFmtId="0" fontId="1" fillId="23" borderId="0" xfId="0" applyFont="1" applyFill="1" applyAlignment="1">
      <alignment horizontal="center"/>
    </xf>
    <xf numFmtId="1" fontId="31" fillId="0" borderId="21" xfId="0" applyNumberFormat="1" applyFont="1" applyFill="1" applyBorder="1" applyAlignment="1">
      <alignment horizontal="center" vertical="center"/>
    </xf>
    <xf numFmtId="1" fontId="31" fillId="21" borderId="160" xfId="0" applyNumberFormat="1" applyFont="1" applyFill="1" applyBorder="1" applyAlignment="1">
      <alignment horizontal="center" vertical="center"/>
    </xf>
    <xf numFmtId="9" fontId="31" fillId="21" borderId="161" xfId="0" applyNumberFormat="1" applyFont="1" applyFill="1" applyBorder="1" applyAlignment="1">
      <alignment horizontal="center" vertical="center"/>
    </xf>
    <xf numFmtId="1" fontId="31" fillId="21" borderId="161" xfId="0" applyNumberFormat="1" applyFont="1" applyFill="1" applyBorder="1" applyAlignment="1">
      <alignment horizontal="center" vertical="center"/>
    </xf>
    <xf numFmtId="9" fontId="31" fillId="21" borderId="162" xfId="0" applyNumberFormat="1" applyFont="1" applyFill="1" applyBorder="1" applyAlignment="1">
      <alignment horizontal="center" vertical="center"/>
    </xf>
    <xf numFmtId="9" fontId="25" fillId="21" borderId="32" xfId="0" applyNumberFormat="1" applyFont="1" applyFill="1" applyBorder="1" applyAlignment="1">
      <alignment horizontal="center"/>
    </xf>
    <xf numFmtId="9" fontId="25" fillId="22" borderId="32" xfId="0" applyNumberFormat="1" applyFont="1" applyFill="1" applyBorder="1" applyAlignment="1">
      <alignment horizontal="center"/>
    </xf>
    <xf numFmtId="9" fontId="25" fillId="22" borderId="31" xfId="2" applyFont="1" applyFill="1" applyBorder="1" applyAlignment="1">
      <alignment horizontal="center"/>
    </xf>
    <xf numFmtId="9" fontId="25" fillId="0" borderId="7" xfId="2" applyFont="1" applyBorder="1" applyAlignment="1">
      <alignment horizontal="center" vertical="center" wrapText="1"/>
    </xf>
    <xf numFmtId="0" fontId="134" fillId="4" borderId="4" xfId="0" applyFont="1" applyFill="1" applyBorder="1" applyAlignment="1">
      <alignment horizontal="center" vertical="center"/>
    </xf>
    <xf numFmtId="0" fontId="134" fillId="0" borderId="11" xfId="0" applyFont="1" applyBorder="1" applyAlignment="1">
      <alignment horizontal="center" vertical="center"/>
    </xf>
    <xf numFmtId="0" fontId="134" fillId="0" borderId="7" xfId="0" applyFont="1" applyBorder="1" applyAlignment="1">
      <alignment horizontal="center" vertical="center"/>
    </xf>
    <xf numFmtId="9" fontId="134" fillId="4" borderId="21" xfId="0" applyNumberFormat="1" applyFont="1" applyFill="1" applyBorder="1" applyAlignment="1">
      <alignment horizontal="center" vertical="center"/>
    </xf>
    <xf numFmtId="9" fontId="134" fillId="4" borderId="4" xfId="0" applyNumberFormat="1" applyFont="1" applyFill="1" applyBorder="1" applyAlignment="1">
      <alignment horizontal="center" vertical="center"/>
    </xf>
    <xf numFmtId="0" fontId="135" fillId="0" borderId="0" xfId="0" applyFont="1"/>
    <xf numFmtId="0" fontId="134" fillId="4" borderId="5" xfId="0" applyFont="1" applyFill="1" applyBorder="1" applyAlignment="1">
      <alignment horizontal="center" vertical="center"/>
    </xf>
    <xf numFmtId="0" fontId="139" fillId="0" borderId="11" xfId="0" applyFont="1" applyBorder="1" applyAlignment="1">
      <alignment horizontal="center" vertical="center" wrapText="1"/>
    </xf>
    <xf numFmtId="0" fontId="139" fillId="0" borderId="7" xfId="0" applyFont="1" applyBorder="1" applyAlignment="1">
      <alignment horizontal="center" vertical="center" wrapText="1"/>
    </xf>
    <xf numFmtId="0" fontId="139" fillId="4" borderId="21" xfId="0" applyFont="1" applyFill="1" applyBorder="1" applyAlignment="1">
      <alignment horizontal="center" vertical="center" wrapText="1"/>
    </xf>
    <xf numFmtId="0" fontId="139" fillId="4" borderId="4" xfId="0" applyFont="1" applyFill="1" applyBorder="1" applyAlignment="1">
      <alignment horizontal="center" vertical="center" wrapText="1"/>
    </xf>
    <xf numFmtId="0" fontId="139" fillId="0" borderId="22" xfId="0" applyFont="1" applyBorder="1" applyAlignment="1">
      <alignment horizontal="center" vertical="center" wrapText="1"/>
    </xf>
    <xf numFmtId="0" fontId="139" fillId="0" borderId="23" xfId="0" applyFont="1" applyBorder="1" applyAlignment="1">
      <alignment horizontal="center" vertical="center" wrapText="1"/>
    </xf>
    <xf numFmtId="0" fontId="139" fillId="4" borderId="24" xfId="0" applyFont="1" applyFill="1" applyBorder="1" applyAlignment="1">
      <alignment horizontal="center" vertical="center" wrapText="1"/>
    </xf>
    <xf numFmtId="0" fontId="139" fillId="4" borderId="2" xfId="0" applyFont="1" applyFill="1" applyBorder="1" applyAlignment="1">
      <alignment horizontal="center" vertical="center" wrapText="1"/>
    </xf>
    <xf numFmtId="0" fontId="134" fillId="4" borderId="3" xfId="0" applyFont="1" applyFill="1" applyBorder="1" applyAlignment="1">
      <alignment horizontal="center" vertical="center"/>
    </xf>
    <xf numFmtId="0" fontId="134" fillId="0" borderId="31" xfId="0" applyFont="1" applyBorder="1" applyAlignment="1">
      <alignment horizontal="center" vertical="center"/>
    </xf>
    <xf numFmtId="0" fontId="134" fillId="0" borderId="32" xfId="0" applyFont="1" applyBorder="1" applyAlignment="1">
      <alignment horizontal="center" vertical="center"/>
    </xf>
    <xf numFmtId="9" fontId="134" fillId="24" borderId="4" xfId="0" applyNumberFormat="1" applyFont="1" applyFill="1" applyBorder="1" applyAlignment="1">
      <alignment horizontal="center" vertical="center"/>
    </xf>
    <xf numFmtId="9" fontId="134" fillId="24" borderId="21" xfId="0" applyNumberFormat="1" applyFont="1" applyFill="1" applyBorder="1" applyAlignment="1">
      <alignment horizontal="center" vertical="center"/>
    </xf>
    <xf numFmtId="0" fontId="90" fillId="19" borderId="21" xfId="0" applyFont="1" applyFill="1" applyBorder="1" applyAlignment="1">
      <alignment horizontal="center" vertical="center" wrapText="1"/>
    </xf>
    <xf numFmtId="0" fontId="90" fillId="12" borderId="99" xfId="0" applyFont="1" applyFill="1" applyBorder="1" applyAlignment="1">
      <alignment horizontal="center" vertical="center" wrapText="1"/>
    </xf>
    <xf numFmtId="0" fontId="90" fillId="16" borderId="21" xfId="0" applyFont="1" applyFill="1" applyBorder="1" applyAlignment="1">
      <alignment horizontal="center" vertical="center"/>
    </xf>
    <xf numFmtId="0" fontId="90" fillId="14" borderId="96" xfId="0" applyFont="1" applyFill="1" applyBorder="1" applyAlignment="1">
      <alignment horizontal="center" vertical="center"/>
    </xf>
    <xf numFmtId="0" fontId="28" fillId="0" borderId="31" xfId="0" applyFont="1" applyFill="1" applyBorder="1" applyAlignment="1">
      <alignment horizontal="center" vertical="center" wrapText="1"/>
    </xf>
    <xf numFmtId="0" fontId="28" fillId="0" borderId="44" xfId="0" applyFont="1" applyFill="1" applyBorder="1" applyAlignment="1">
      <alignment horizontal="center" vertical="center" wrapText="1"/>
    </xf>
    <xf numFmtId="0" fontId="28" fillId="0" borderId="100" xfId="0" applyFont="1" applyFill="1" applyBorder="1" applyAlignment="1">
      <alignment horizontal="center" vertical="center" wrapText="1"/>
    </xf>
    <xf numFmtId="0" fontId="142" fillId="12" borderId="5" xfId="0" applyFont="1" applyFill="1" applyBorder="1" applyAlignment="1">
      <alignment horizontal="center" vertical="center" wrapText="1"/>
    </xf>
    <xf numFmtId="0" fontId="142" fillId="19" borderId="5" xfId="0" applyFont="1" applyFill="1" applyBorder="1" applyAlignment="1">
      <alignment horizontal="center" vertical="center" wrapText="1"/>
    </xf>
    <xf numFmtId="0" fontId="142" fillId="14" borderId="7" xfId="0" applyFont="1" applyFill="1" applyBorder="1" applyAlignment="1">
      <alignment horizontal="center" vertical="center" wrapText="1"/>
    </xf>
    <xf numFmtId="0" fontId="142" fillId="16" borderId="5" xfId="0" applyFont="1" applyFill="1" applyBorder="1" applyAlignment="1">
      <alignment horizontal="center" vertical="center" wrapText="1"/>
    </xf>
    <xf numFmtId="0" fontId="28" fillId="25" borderId="7" xfId="0" applyFont="1" applyFill="1" applyBorder="1" applyAlignment="1">
      <alignment horizontal="center" vertical="center" wrapText="1"/>
    </xf>
    <xf numFmtId="0" fontId="28" fillId="26" borderId="7" xfId="0" applyFont="1" applyFill="1" applyBorder="1" applyAlignment="1">
      <alignment horizontal="center" vertical="center" wrapText="1"/>
    </xf>
    <xf numFmtId="9" fontId="25" fillId="26" borderId="7" xfId="2" applyFont="1" applyFill="1" applyBorder="1" applyAlignment="1">
      <alignment horizontal="center" vertical="center" wrapText="1"/>
    </xf>
    <xf numFmtId="0" fontId="28" fillId="27" borderId="7" xfId="0" applyFont="1" applyFill="1" applyBorder="1" applyAlignment="1">
      <alignment horizontal="center" vertical="center" wrapText="1"/>
    </xf>
    <xf numFmtId="0" fontId="28" fillId="28" borderId="7" xfId="0" applyFont="1" applyFill="1" applyBorder="1" applyAlignment="1">
      <alignment horizontal="center" vertical="center" wrapText="1"/>
    </xf>
    <xf numFmtId="0" fontId="44" fillId="0" borderId="0" xfId="0" applyFont="1" applyBorder="1" applyAlignment="1">
      <alignment wrapText="1"/>
    </xf>
    <xf numFmtId="0" fontId="33" fillId="4" borderId="5" xfId="0" applyFont="1" applyFill="1" applyBorder="1" applyAlignment="1">
      <alignment horizontal="center" vertical="center"/>
    </xf>
    <xf numFmtId="0" fontId="63" fillId="23" borderId="0" xfId="0" applyFont="1" applyFill="1" applyBorder="1" applyAlignment="1">
      <alignment horizontal="center" vertical="center"/>
    </xf>
    <xf numFmtId="9" fontId="58" fillId="23" borderId="0" xfId="0" applyNumberFormat="1" applyFont="1" applyFill="1" applyBorder="1" applyAlignment="1">
      <alignment horizontal="center"/>
    </xf>
    <xf numFmtId="9" fontId="33" fillId="23" borderId="0" xfId="0" applyNumberFormat="1" applyFont="1" applyFill="1" applyBorder="1" applyAlignment="1">
      <alignment horizontal="center" vertical="center"/>
    </xf>
    <xf numFmtId="0" fontId="0" fillId="23" borderId="0" xfId="0" applyFill="1"/>
    <xf numFmtId="9" fontId="58" fillId="23" borderId="7" xfId="0" applyNumberFormat="1" applyFont="1" applyFill="1" applyBorder="1" applyAlignment="1">
      <alignment horizontal="center"/>
    </xf>
    <xf numFmtId="9" fontId="25" fillId="16" borderId="19" xfId="2" applyFont="1" applyFill="1" applyBorder="1" applyAlignment="1">
      <alignment horizontal="center" vertical="center" wrapText="1"/>
    </xf>
    <xf numFmtId="9" fontId="25" fillId="0" borderId="19" xfId="2" applyFont="1" applyBorder="1" applyAlignment="1">
      <alignment horizontal="center" vertical="center" wrapText="1"/>
    </xf>
    <xf numFmtId="9" fontId="25" fillId="12" borderId="97" xfId="2" applyFont="1" applyFill="1" applyBorder="1" applyAlignment="1">
      <alignment horizontal="center" vertical="center" wrapText="1"/>
    </xf>
    <xf numFmtId="9" fontId="25" fillId="0" borderId="97" xfId="2" applyFont="1" applyBorder="1" applyAlignment="1">
      <alignment horizontal="center" vertical="center" wrapText="1"/>
    </xf>
    <xf numFmtId="0" fontId="123" fillId="30" borderId="19" xfId="0" applyFont="1" applyFill="1" applyBorder="1" applyAlignment="1">
      <alignment horizontal="center" vertical="center" wrapText="1"/>
    </xf>
    <xf numFmtId="0" fontId="123" fillId="30" borderId="11" xfId="0" applyFont="1" applyFill="1" applyBorder="1" applyAlignment="1">
      <alignment horizontal="center" vertical="center" wrapText="1"/>
    </xf>
    <xf numFmtId="0" fontId="47" fillId="30" borderId="19" xfId="0" applyFont="1" applyFill="1" applyBorder="1" applyAlignment="1">
      <alignment horizontal="center" vertical="center" wrapText="1"/>
    </xf>
    <xf numFmtId="0" fontId="47" fillId="30" borderId="11" xfId="0" applyFont="1" applyFill="1" applyBorder="1" applyAlignment="1">
      <alignment horizontal="center" vertical="center" wrapText="1"/>
    </xf>
    <xf numFmtId="0" fontId="28" fillId="30" borderId="7" xfId="0" applyFont="1" applyFill="1" applyBorder="1" applyAlignment="1">
      <alignment horizontal="center" vertical="center" wrapText="1"/>
    </xf>
    <xf numFmtId="0" fontId="25" fillId="30" borderId="7" xfId="0" applyFont="1" applyFill="1" applyBorder="1" applyAlignment="1">
      <alignment horizontal="center" vertical="center" wrapText="1"/>
    </xf>
    <xf numFmtId="9" fontId="25" fillId="30" borderId="7" xfId="2" applyFont="1" applyFill="1" applyBorder="1" applyAlignment="1">
      <alignment horizontal="center" vertical="center" wrapText="1"/>
    </xf>
    <xf numFmtId="9" fontId="25" fillId="25" borderId="7" xfId="2" applyFont="1" applyFill="1" applyBorder="1" applyAlignment="1">
      <alignment horizontal="center" vertical="center" wrapText="1"/>
    </xf>
    <xf numFmtId="9" fontId="25" fillId="19" borderId="19" xfId="2" applyFont="1" applyFill="1" applyBorder="1" applyAlignment="1">
      <alignment horizontal="center" vertical="center" wrapText="1"/>
    </xf>
    <xf numFmtId="0" fontId="25" fillId="28" borderId="7" xfId="3" applyNumberFormat="1" applyFont="1" applyFill="1" applyBorder="1" applyAlignment="1">
      <alignment horizontal="center" vertical="center" wrapText="1"/>
    </xf>
    <xf numFmtId="9" fontId="25" fillId="27" borderId="7" xfId="2" applyFont="1" applyFill="1" applyBorder="1" applyAlignment="1">
      <alignment horizontal="center" vertical="center" wrapText="1"/>
    </xf>
    <xf numFmtId="0" fontId="27" fillId="18" borderId="87" xfId="0" applyFont="1" applyFill="1" applyBorder="1" applyAlignment="1">
      <alignment horizontal="center" vertical="center" wrapText="1"/>
    </xf>
    <xf numFmtId="0" fontId="27" fillId="18" borderId="40" xfId="0" applyFont="1" applyFill="1" applyBorder="1" applyAlignment="1">
      <alignment horizontal="center" vertical="center" wrapText="1"/>
    </xf>
    <xf numFmtId="0" fontId="27" fillId="18" borderId="93" xfId="0" applyFont="1" applyFill="1" applyBorder="1" applyAlignment="1">
      <alignment horizontal="center" vertical="center" wrapText="1"/>
    </xf>
    <xf numFmtId="0" fontId="27" fillId="5" borderId="94" xfId="0" applyFont="1" applyFill="1" applyBorder="1" applyAlignment="1">
      <alignment horizontal="center" vertical="center" wrapText="1"/>
    </xf>
    <xf numFmtId="0" fontId="27" fillId="5" borderId="40" xfId="0" applyFont="1" applyFill="1" applyBorder="1" applyAlignment="1">
      <alignment horizontal="center" vertical="center" wrapText="1"/>
    </xf>
    <xf numFmtId="0" fontId="27" fillId="5" borderId="95" xfId="0" applyFont="1" applyFill="1" applyBorder="1" applyAlignment="1">
      <alignment horizontal="center" vertical="center" wrapText="1"/>
    </xf>
    <xf numFmtId="0" fontId="27" fillId="15" borderId="87" xfId="0" applyFont="1" applyFill="1" applyBorder="1" applyAlignment="1">
      <alignment horizontal="center" vertical="center" wrapText="1"/>
    </xf>
    <xf numFmtId="0" fontId="27" fillId="15" borderId="40" xfId="0" applyFont="1" applyFill="1" applyBorder="1" applyAlignment="1">
      <alignment horizontal="center" vertical="center" wrapText="1"/>
    </xf>
    <xf numFmtId="0" fontId="27" fillId="15" borderId="93" xfId="0" applyFont="1" applyFill="1" applyBorder="1" applyAlignment="1">
      <alignment horizontal="center" vertical="center" wrapText="1"/>
    </xf>
    <xf numFmtId="0" fontId="27" fillId="20" borderId="94" xfId="0" applyFont="1" applyFill="1" applyBorder="1" applyAlignment="1">
      <alignment horizontal="center" vertical="center" wrapText="1"/>
    </xf>
    <xf numFmtId="0" fontId="27" fillId="20" borderId="40" xfId="0" applyFont="1" applyFill="1" applyBorder="1" applyAlignment="1">
      <alignment horizontal="center" vertical="center" wrapText="1"/>
    </xf>
    <xf numFmtId="9" fontId="142" fillId="19" borderId="34" xfId="2" applyFont="1" applyFill="1" applyBorder="1" applyAlignment="1">
      <alignment horizontal="center" vertical="center" wrapText="1"/>
    </xf>
    <xf numFmtId="9" fontId="142" fillId="27" borderId="7" xfId="2" applyFont="1" applyFill="1" applyBorder="1" applyAlignment="1">
      <alignment horizontal="center" vertical="center" wrapText="1"/>
    </xf>
    <xf numFmtId="9" fontId="142" fillId="12" borderId="103" xfId="2" applyFont="1" applyFill="1" applyBorder="1" applyAlignment="1">
      <alignment horizontal="center" vertical="center" wrapText="1"/>
    </xf>
    <xf numFmtId="9" fontId="142" fillId="16" borderId="34" xfId="2" applyFont="1" applyFill="1" applyBorder="1" applyAlignment="1">
      <alignment horizontal="center" vertical="center" wrapText="1"/>
    </xf>
    <xf numFmtId="0" fontId="142" fillId="19" borderId="24" xfId="0" applyFont="1" applyFill="1" applyBorder="1" applyAlignment="1">
      <alignment horizontal="center" vertical="center" wrapText="1"/>
    </xf>
    <xf numFmtId="0" fontId="142" fillId="19" borderId="14" xfId="0" applyFont="1" applyFill="1" applyBorder="1" applyAlignment="1">
      <alignment horizontal="center" vertical="center" wrapText="1"/>
    </xf>
    <xf numFmtId="0" fontId="142" fillId="12" borderId="102" xfId="0" applyFont="1" applyFill="1" applyBorder="1" applyAlignment="1">
      <alignment horizontal="center" vertical="center" wrapText="1"/>
    </xf>
    <xf numFmtId="0" fontId="142" fillId="12" borderId="14" xfId="0" applyFont="1" applyFill="1" applyBorder="1" applyAlignment="1">
      <alignment horizontal="center" vertical="center" wrapText="1"/>
    </xf>
    <xf numFmtId="0" fontId="142" fillId="16" borderId="24" xfId="0" applyFont="1" applyFill="1" applyBorder="1" applyAlignment="1">
      <alignment horizontal="center" vertical="center"/>
    </xf>
    <xf numFmtId="0" fontId="144" fillId="16" borderId="14" xfId="0" applyFont="1" applyFill="1" applyBorder="1" applyAlignment="1">
      <alignment horizontal="center" vertical="center"/>
    </xf>
    <xf numFmtId="0" fontId="142" fillId="14" borderId="151" xfId="0" applyFont="1" applyFill="1" applyBorder="1" applyAlignment="1">
      <alignment horizontal="center" vertical="center"/>
    </xf>
    <xf numFmtId="0" fontId="144" fillId="14" borderId="152" xfId="0" applyFont="1" applyFill="1" applyBorder="1" applyAlignment="1">
      <alignment horizontal="center" vertical="center"/>
    </xf>
    <xf numFmtId="0" fontId="0" fillId="0" borderId="165" xfId="0" applyBorder="1"/>
    <xf numFmtId="0" fontId="0" fillId="0" borderId="149" xfId="0" applyBorder="1"/>
    <xf numFmtId="0" fontId="142" fillId="26" borderId="7" xfId="0" applyFont="1" applyFill="1" applyBorder="1" applyAlignment="1">
      <alignment horizontal="center" vertical="center" wrapText="1"/>
    </xf>
    <xf numFmtId="0" fontId="142" fillId="28" borderId="7" xfId="0" applyFont="1" applyFill="1" applyBorder="1" applyAlignment="1">
      <alignment horizontal="center" vertical="center" wrapText="1"/>
    </xf>
    <xf numFmtId="0" fontId="142" fillId="27" borderId="7" xfId="0" applyFont="1" applyFill="1" applyBorder="1" applyAlignment="1">
      <alignment horizontal="center" vertical="center" wrapText="1"/>
    </xf>
    <xf numFmtId="0" fontId="29" fillId="31" borderId="87" xfId="0" applyFont="1" applyFill="1" applyBorder="1" applyAlignment="1">
      <alignment horizontal="center" vertical="center" wrapText="1"/>
    </xf>
    <xf numFmtId="0" fontId="29" fillId="31" borderId="93" xfId="0" applyFont="1" applyFill="1" applyBorder="1" applyAlignment="1">
      <alignment horizontal="center" vertical="center" wrapText="1"/>
    </xf>
    <xf numFmtId="0" fontId="29" fillId="33" borderId="87" xfId="0" applyFont="1" applyFill="1" applyBorder="1" applyAlignment="1">
      <alignment horizontal="center" vertical="center" wrapText="1"/>
    </xf>
    <xf numFmtId="0" fontId="29" fillId="33" borderId="93" xfId="0" applyFont="1" applyFill="1" applyBorder="1" applyAlignment="1">
      <alignment horizontal="center" vertical="center" wrapText="1"/>
    </xf>
    <xf numFmtId="0" fontId="126" fillId="2" borderId="168" xfId="0" applyFont="1" applyFill="1" applyBorder="1" applyAlignment="1">
      <alignment horizontal="center" vertical="center" wrapText="1"/>
    </xf>
    <xf numFmtId="0" fontId="1" fillId="2" borderId="168" xfId="0" applyFont="1" applyFill="1" applyBorder="1" applyAlignment="1">
      <alignment horizontal="center" vertical="center" wrapText="1"/>
    </xf>
    <xf numFmtId="0" fontId="0" fillId="2" borderId="168" xfId="0" applyFill="1" applyBorder="1"/>
    <xf numFmtId="0" fontId="0" fillId="0" borderId="168" xfId="0" applyBorder="1"/>
    <xf numFmtId="0" fontId="29" fillId="34" borderId="94" xfId="0" applyFont="1" applyFill="1" applyBorder="1" applyAlignment="1">
      <alignment horizontal="center" vertical="center" wrapText="1"/>
    </xf>
    <xf numFmtId="0" fontId="28" fillId="34" borderId="93" xfId="0" applyFont="1" applyFill="1" applyBorder="1" applyAlignment="1">
      <alignment horizontal="center" vertical="center" wrapText="1"/>
    </xf>
    <xf numFmtId="0" fontId="29" fillId="32" borderId="94" xfId="0" applyFont="1" applyFill="1" applyBorder="1" applyAlignment="1">
      <alignment horizontal="center" vertical="center" wrapText="1"/>
    </xf>
    <xf numFmtId="0" fontId="28" fillId="32" borderId="93" xfId="0" applyFont="1" applyFill="1" applyBorder="1" applyAlignment="1">
      <alignment horizontal="center" vertical="center" wrapText="1"/>
    </xf>
    <xf numFmtId="0" fontId="142" fillId="35" borderId="7" xfId="0" applyFont="1" applyFill="1" applyBorder="1" applyAlignment="1">
      <alignment horizontal="center" vertical="center" wrapText="1"/>
    </xf>
    <xf numFmtId="0" fontId="90" fillId="35" borderId="96" xfId="0" applyFont="1" applyFill="1" applyBorder="1" applyAlignment="1">
      <alignment horizontal="center" vertical="center"/>
    </xf>
    <xf numFmtId="0" fontId="142" fillId="35" borderId="151" xfId="0" applyFont="1" applyFill="1" applyBorder="1" applyAlignment="1">
      <alignment horizontal="center" vertical="center"/>
    </xf>
    <xf numFmtId="0" fontId="148" fillId="0" borderId="0" xfId="0" applyFont="1" applyAlignment="1">
      <alignment horizontal="center"/>
    </xf>
    <xf numFmtId="0" fontId="142" fillId="36" borderId="7" xfId="0" applyFont="1" applyFill="1" applyBorder="1" applyAlignment="1">
      <alignment horizontal="center" vertical="center" wrapText="1"/>
    </xf>
    <xf numFmtId="0" fontId="142" fillId="36" borderId="24" xfId="0" applyFont="1" applyFill="1" applyBorder="1" applyAlignment="1">
      <alignment horizontal="center" vertical="center" wrapText="1"/>
    </xf>
    <xf numFmtId="0" fontId="142" fillId="36" borderId="21" xfId="0" applyFont="1" applyFill="1" applyBorder="1" applyAlignment="1">
      <alignment horizontal="center" vertical="center" wrapText="1"/>
    </xf>
    <xf numFmtId="0" fontId="28" fillId="29" borderId="48" xfId="0" applyFont="1" applyFill="1" applyBorder="1" applyAlignment="1">
      <alignment horizontal="center" vertical="center" wrapText="1"/>
    </xf>
    <xf numFmtId="0" fontId="149" fillId="4" borderId="7" xfId="0" applyFont="1" applyFill="1" applyBorder="1" applyAlignment="1">
      <alignment horizontal="center"/>
    </xf>
    <xf numFmtId="9" fontId="149" fillId="4" borderId="7" xfId="0" applyNumberFormat="1" applyFont="1" applyFill="1" applyBorder="1" applyAlignment="1">
      <alignment horizontal="center"/>
    </xf>
    <xf numFmtId="0" fontId="52" fillId="3" borderId="5" xfId="0" applyFont="1" applyFill="1" applyBorder="1" applyAlignment="1">
      <alignment horizontal="center"/>
    </xf>
    <xf numFmtId="0" fontId="33" fillId="23" borderId="0" xfId="0" applyFont="1" applyFill="1" applyBorder="1" applyAlignment="1">
      <alignment horizontal="center" vertical="center"/>
    </xf>
    <xf numFmtId="9" fontId="65" fillId="23" borderId="0" xfId="0" applyNumberFormat="1" applyFont="1" applyFill="1" applyBorder="1" applyAlignment="1">
      <alignment horizontal="center"/>
    </xf>
    <xf numFmtId="0" fontId="57" fillId="23" borderId="0" xfId="0" applyFont="1" applyFill="1" applyAlignment="1">
      <alignment horizontal="center"/>
    </xf>
    <xf numFmtId="0" fontId="0" fillId="0" borderId="0" xfId="0" applyAlignment="1"/>
    <xf numFmtId="0" fontId="150" fillId="0" borderId="0" xfId="0" applyFont="1"/>
    <xf numFmtId="0" fontId="151" fillId="0" borderId="0" xfId="0" applyFont="1"/>
    <xf numFmtId="0" fontId="152" fillId="0" borderId="0" xfId="0" applyFont="1" applyAlignment="1">
      <alignment horizontal="center"/>
    </xf>
    <xf numFmtId="0" fontId="24" fillId="23" borderId="7" xfId="0" applyNumberFormat="1" applyFont="1" applyFill="1" applyBorder="1" applyAlignment="1">
      <alignment horizontal="center" vertical="center"/>
    </xf>
    <xf numFmtId="9" fontId="28" fillId="22" borderId="3" xfId="0" applyNumberFormat="1" applyFont="1" applyFill="1" applyBorder="1" applyAlignment="1">
      <alignment horizontal="center" vertical="center"/>
    </xf>
    <xf numFmtId="10" fontId="142" fillId="28" borderId="7" xfId="2" applyNumberFormat="1" applyFont="1" applyFill="1" applyBorder="1" applyAlignment="1">
      <alignment horizontal="center" vertical="center" wrapText="1"/>
    </xf>
    <xf numFmtId="0" fontId="155" fillId="3" borderId="4" xfId="0" applyFont="1" applyFill="1" applyBorder="1" applyAlignment="1">
      <alignment horizontal="center" vertical="center"/>
    </xf>
    <xf numFmtId="0" fontId="135" fillId="3" borderId="4" xfId="0" applyFont="1" applyFill="1" applyBorder="1" applyAlignment="1">
      <alignment horizontal="center" vertical="center"/>
    </xf>
    <xf numFmtId="9" fontId="135" fillId="3" borderId="4" xfId="0" applyNumberFormat="1" applyFont="1" applyFill="1" applyBorder="1" applyAlignment="1">
      <alignment horizontal="center" vertical="center"/>
    </xf>
    <xf numFmtId="0" fontId="135" fillId="23" borderId="171" xfId="0" applyFont="1" applyFill="1" applyBorder="1" applyAlignment="1">
      <alignment horizontal="center" vertical="center"/>
    </xf>
    <xf numFmtId="9" fontId="135" fillId="24" borderId="163" xfId="0" applyNumberFormat="1" applyFont="1" applyFill="1" applyBorder="1" applyAlignment="1">
      <alignment horizontal="center" vertical="center"/>
    </xf>
    <xf numFmtId="0" fontId="135" fillId="4" borderId="5" xfId="0" applyFont="1" applyFill="1" applyBorder="1" applyAlignment="1">
      <alignment horizontal="center" vertical="center"/>
    </xf>
    <xf numFmtId="0" fontId="135" fillId="23" borderId="172" xfId="0" applyFont="1" applyFill="1" applyBorder="1" applyAlignment="1">
      <alignment horizontal="center" vertical="center"/>
    </xf>
    <xf numFmtId="0" fontId="135" fillId="23" borderId="173" xfId="0" applyFont="1" applyFill="1" applyBorder="1" applyAlignment="1">
      <alignment horizontal="center" vertical="center"/>
    </xf>
    <xf numFmtId="0" fontId="135" fillId="23" borderId="174" xfId="0" applyFont="1" applyFill="1" applyBorder="1" applyAlignment="1">
      <alignment horizontal="center" vertical="center"/>
    </xf>
    <xf numFmtId="9" fontId="134" fillId="24" borderId="62" xfId="0" applyNumberFormat="1" applyFont="1" applyFill="1" applyBorder="1" applyAlignment="1">
      <alignment horizontal="center" vertical="center"/>
    </xf>
    <xf numFmtId="9" fontId="134" fillId="24" borderId="3" xfId="0" applyNumberFormat="1" applyFont="1" applyFill="1" applyBorder="1" applyAlignment="1">
      <alignment horizontal="center" vertical="center"/>
    </xf>
    <xf numFmtId="0" fontId="134" fillId="23" borderId="48" xfId="0" applyFont="1" applyFill="1" applyBorder="1" applyAlignment="1">
      <alignment horizontal="center" vertical="center"/>
    </xf>
    <xf numFmtId="0" fontId="134" fillId="23" borderId="68" xfId="0" applyFont="1" applyFill="1" applyBorder="1" applyAlignment="1">
      <alignment horizontal="center" vertical="center"/>
    </xf>
    <xf numFmtId="9" fontId="134" fillId="24" borderId="63" xfId="0" applyNumberFormat="1" applyFont="1" applyFill="1" applyBorder="1" applyAlignment="1">
      <alignment horizontal="center" vertical="center"/>
    </xf>
    <xf numFmtId="0" fontId="134" fillId="0" borderId="48" xfId="0" applyFont="1" applyBorder="1" applyAlignment="1">
      <alignment horizontal="center" vertical="center"/>
    </xf>
    <xf numFmtId="0" fontId="134" fillId="0" borderId="68" xfId="0" applyFont="1" applyBorder="1" applyAlignment="1">
      <alignment horizontal="center" vertical="center"/>
    </xf>
    <xf numFmtId="9" fontId="134" fillId="24" borderId="10" xfId="0" applyNumberFormat="1" applyFont="1" applyFill="1" applyBorder="1" applyAlignment="1">
      <alignment horizontal="center" vertical="center"/>
    </xf>
    <xf numFmtId="9" fontId="134" fillId="24" borderId="24" xfId="0" applyNumberFormat="1" applyFont="1" applyFill="1" applyBorder="1" applyAlignment="1">
      <alignment horizontal="center" vertical="center"/>
    </xf>
    <xf numFmtId="9" fontId="134" fillId="24" borderId="2" xfId="0" applyNumberFormat="1" applyFont="1" applyFill="1" applyBorder="1" applyAlignment="1">
      <alignment horizontal="center" vertical="center"/>
    </xf>
    <xf numFmtId="0" fontId="48" fillId="0" borderId="175" xfId="0" applyFont="1" applyBorder="1"/>
    <xf numFmtId="0" fontId="140" fillId="0" borderId="176" xfId="0" applyFont="1" applyBorder="1" applyAlignment="1">
      <alignment horizontal="center" vertical="center" wrapText="1"/>
    </xf>
    <xf numFmtId="0" fontId="140" fillId="0" borderId="177" xfId="0" applyFont="1" applyBorder="1" applyAlignment="1">
      <alignment horizontal="center" vertical="center" wrapText="1"/>
    </xf>
    <xf numFmtId="0" fontId="140" fillId="4" borderId="178" xfId="0" applyFont="1" applyFill="1" applyBorder="1" applyAlignment="1">
      <alignment horizontal="center" vertical="center" wrapText="1"/>
    </xf>
    <xf numFmtId="0" fontId="140" fillId="4" borderId="179" xfId="0" applyFont="1" applyFill="1" applyBorder="1" applyAlignment="1">
      <alignment horizontal="center" vertical="center" wrapText="1"/>
    </xf>
    <xf numFmtId="9" fontId="134" fillId="24" borderId="35" xfId="0" applyNumberFormat="1" applyFont="1" applyFill="1" applyBorder="1" applyAlignment="1">
      <alignment horizontal="center" vertical="center"/>
    </xf>
    <xf numFmtId="9" fontId="135" fillId="24" borderId="186" xfId="0" applyNumberFormat="1" applyFont="1" applyFill="1" applyBorder="1" applyAlignment="1">
      <alignment horizontal="center" vertical="center"/>
    </xf>
    <xf numFmtId="9" fontId="135" fillId="24" borderId="170" xfId="0" applyNumberFormat="1" applyFont="1" applyFill="1" applyBorder="1" applyAlignment="1">
      <alignment horizontal="center" vertical="center"/>
    </xf>
    <xf numFmtId="9" fontId="135" fillId="24" borderId="187" xfId="0" applyNumberFormat="1" applyFont="1" applyFill="1" applyBorder="1" applyAlignment="1">
      <alignment horizontal="center" vertical="center"/>
    </xf>
    <xf numFmtId="9" fontId="135" fillId="24" borderId="188" xfId="0" applyNumberFormat="1" applyFont="1" applyFill="1" applyBorder="1" applyAlignment="1">
      <alignment horizontal="center" vertical="center"/>
    </xf>
    <xf numFmtId="9" fontId="135" fillId="24" borderId="174" xfId="0" applyNumberFormat="1" applyFont="1" applyFill="1" applyBorder="1" applyAlignment="1">
      <alignment horizontal="center" vertical="center"/>
    </xf>
    <xf numFmtId="9" fontId="135" fillId="24" borderId="185" xfId="0" applyNumberFormat="1" applyFont="1" applyFill="1" applyBorder="1" applyAlignment="1">
      <alignment horizontal="center" vertical="center"/>
    </xf>
    <xf numFmtId="9" fontId="135" fillId="24" borderId="171" xfId="0" applyNumberFormat="1" applyFont="1" applyFill="1" applyBorder="1" applyAlignment="1">
      <alignment horizontal="center" vertical="center"/>
    </xf>
    <xf numFmtId="9" fontId="135" fillId="24" borderId="184" xfId="0" applyNumberFormat="1" applyFont="1" applyFill="1" applyBorder="1" applyAlignment="1">
      <alignment horizontal="center" vertical="center"/>
    </xf>
    <xf numFmtId="0" fontId="76" fillId="0" borderId="0" xfId="0" applyFont="1" applyAlignment="1"/>
    <xf numFmtId="0" fontId="11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118" fillId="0" borderId="0" xfId="0" applyFont="1" applyAlignment="1">
      <alignment horizontal="center"/>
    </xf>
    <xf numFmtId="0" fontId="36" fillId="0" borderId="0" xfId="0" applyFont="1" applyAlignment="1">
      <alignment horizontal="left" vertical="center"/>
    </xf>
    <xf numFmtId="0" fontId="115" fillId="0" borderId="0" xfId="0" applyFont="1" applyAlignment="1">
      <alignment horizontal="left" vertical="center"/>
    </xf>
    <xf numFmtId="0" fontId="55" fillId="0" borderId="169" xfId="0" applyFont="1" applyBorder="1" applyAlignment="1">
      <alignment horizontal="center" vertical="center"/>
    </xf>
    <xf numFmtId="0" fontId="55" fillId="0" borderId="0" xfId="0" applyFont="1" applyBorder="1" applyAlignment="1">
      <alignment horizontal="center" vertical="center"/>
    </xf>
    <xf numFmtId="9" fontId="134" fillId="24" borderId="6" xfId="0" applyNumberFormat="1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horizontal="center"/>
    </xf>
    <xf numFmtId="0" fontId="33" fillId="3" borderId="104" xfId="0" applyFont="1" applyFill="1" applyBorder="1" applyAlignment="1">
      <alignment horizontal="center"/>
    </xf>
    <xf numFmtId="0" fontId="33" fillId="3" borderId="105" xfId="0" applyFont="1" applyFill="1" applyBorder="1" applyAlignment="1">
      <alignment horizontal="center"/>
    </xf>
    <xf numFmtId="0" fontId="33" fillId="3" borderId="105" xfId="0" applyFont="1" applyFill="1" applyBorder="1"/>
    <xf numFmtId="0" fontId="45" fillId="0" borderId="0" xfId="0" applyFont="1" applyAlignment="1">
      <alignment horizontal="center" vertical="center"/>
    </xf>
    <xf numFmtId="0" fontId="157" fillId="0" borderId="0" xfId="0" applyFont="1" applyAlignment="1">
      <alignment horizontal="center" vertical="center"/>
    </xf>
    <xf numFmtId="0" fontId="27" fillId="3" borderId="21" xfId="0" applyFont="1" applyFill="1" applyBorder="1" applyAlignment="1">
      <alignment horizontal="center" vertical="center"/>
    </xf>
    <xf numFmtId="1" fontId="29" fillId="4" borderId="5" xfId="0" applyNumberFormat="1" applyFont="1" applyFill="1" applyBorder="1" applyAlignment="1">
      <alignment horizontal="center" vertical="center"/>
    </xf>
    <xf numFmtId="0" fontId="29" fillId="4" borderId="5" xfId="0" applyFont="1" applyFill="1" applyBorder="1" applyAlignment="1">
      <alignment horizontal="center" vertical="center"/>
    </xf>
    <xf numFmtId="0" fontId="28" fillId="3" borderId="4" xfId="0" applyFont="1" applyFill="1" applyBorder="1" applyAlignment="1">
      <alignment horizontal="center" vertical="center"/>
    </xf>
    <xf numFmtId="0" fontId="27" fillId="3" borderId="5" xfId="0" applyFont="1" applyFill="1" applyBorder="1" applyAlignment="1">
      <alignment horizontal="center" vertical="center"/>
    </xf>
    <xf numFmtId="0" fontId="134" fillId="0" borderId="189" xfId="0" applyFont="1" applyBorder="1" applyAlignment="1">
      <alignment horizontal="center" vertical="center"/>
    </xf>
    <xf numFmtId="0" fontId="134" fillId="0" borderId="190" xfId="0" applyFont="1" applyBorder="1" applyAlignment="1">
      <alignment horizontal="center" vertical="center"/>
    </xf>
    <xf numFmtId="0" fontId="134" fillId="0" borderId="191" xfId="0" applyFont="1" applyBorder="1" applyAlignment="1">
      <alignment horizontal="center" vertical="center"/>
    </xf>
    <xf numFmtId="0" fontId="134" fillId="0" borderId="192" xfId="0" applyFont="1" applyBorder="1" applyAlignment="1">
      <alignment horizontal="center" vertical="center"/>
    </xf>
    <xf numFmtId="0" fontId="134" fillId="0" borderId="193" xfId="0" applyFont="1" applyBorder="1" applyAlignment="1">
      <alignment horizontal="center" vertical="center"/>
    </xf>
    <xf numFmtId="0" fontId="134" fillId="0" borderId="194" xfId="0" applyFont="1" applyBorder="1" applyAlignment="1">
      <alignment horizontal="center" vertical="center"/>
    </xf>
    <xf numFmtId="0" fontId="140" fillId="0" borderId="23" xfId="0" applyFont="1" applyBorder="1" applyAlignment="1">
      <alignment horizontal="center" vertical="center" wrapText="1"/>
    </xf>
    <xf numFmtId="0" fontId="140" fillId="4" borderId="2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1" fontId="25" fillId="0" borderId="7" xfId="0" applyNumberFormat="1" applyFont="1" applyFill="1" applyBorder="1" applyAlignment="1">
      <alignment horizontal="center" vertical="center"/>
    </xf>
    <xf numFmtId="1" fontId="29" fillId="21" borderId="5" xfId="0" applyNumberFormat="1" applyFont="1" applyFill="1" applyBorder="1" applyAlignment="1">
      <alignment horizontal="center" vertical="center"/>
    </xf>
    <xf numFmtId="9" fontId="24" fillId="23" borderId="148" xfId="0" applyNumberFormat="1" applyFont="1" applyFill="1" applyBorder="1" applyAlignment="1">
      <alignment horizontal="center" vertical="center"/>
    </xf>
    <xf numFmtId="9" fontId="25" fillId="23" borderId="31" xfId="2" applyFont="1" applyFill="1" applyBorder="1" applyAlignment="1">
      <alignment horizontal="center"/>
    </xf>
    <xf numFmtId="9" fontId="25" fillId="23" borderId="32" xfId="0" applyNumberFormat="1" applyFont="1" applyFill="1" applyBorder="1" applyAlignment="1">
      <alignment horizontal="center"/>
    </xf>
    <xf numFmtId="0" fontId="29" fillId="21" borderId="5" xfId="0" applyFont="1" applyFill="1" applyBorder="1" applyAlignment="1">
      <alignment horizontal="center" vertical="center"/>
    </xf>
    <xf numFmtId="0" fontId="24" fillId="4" borderId="5" xfId="0" applyFont="1" applyFill="1" applyBorder="1" applyAlignment="1">
      <alignment horizontal="center" vertical="center"/>
    </xf>
    <xf numFmtId="1" fontId="31" fillId="3" borderId="5" xfId="0" applyNumberFormat="1" applyFont="1" applyFill="1" applyBorder="1" applyAlignment="1">
      <alignment horizontal="center" vertical="center"/>
    </xf>
    <xf numFmtId="0" fontId="24" fillId="21" borderId="5" xfId="0" applyFont="1" applyFill="1" applyBorder="1" applyAlignment="1">
      <alignment horizontal="center" vertical="center"/>
    </xf>
    <xf numFmtId="0" fontId="28" fillId="37" borderId="48" xfId="0" applyFont="1" applyFill="1" applyBorder="1" applyAlignment="1">
      <alignment horizontal="center" vertical="center" wrapText="1"/>
    </xf>
    <xf numFmtId="0" fontId="25" fillId="3" borderId="35" xfId="0" applyFont="1" applyFill="1" applyBorder="1" applyAlignment="1">
      <alignment horizontal="center"/>
    </xf>
    <xf numFmtId="1" fontId="0" fillId="0" borderId="7" xfId="0" applyNumberFormat="1" applyBorder="1" applyAlignment="1">
      <alignment horizontal="center" vertical="center"/>
    </xf>
    <xf numFmtId="1" fontId="0" fillId="0" borderId="7" xfId="0" applyNumberFormat="1" applyBorder="1" applyAlignment="1">
      <alignment horizontal="center"/>
    </xf>
    <xf numFmtId="9" fontId="0" fillId="21" borderId="7" xfId="2" applyFont="1" applyFill="1" applyBorder="1" applyAlignment="1">
      <alignment horizontal="center"/>
    </xf>
    <xf numFmtId="0" fontId="54" fillId="0" borderId="0" xfId="0" applyFont="1"/>
    <xf numFmtId="0" fontId="28" fillId="23" borderId="7" xfId="0" applyFont="1" applyFill="1" applyBorder="1" applyAlignment="1">
      <alignment horizontal="center" vertical="center" wrapText="1"/>
    </xf>
    <xf numFmtId="0" fontId="55" fillId="23" borderId="169" xfId="0" applyFont="1" applyFill="1" applyBorder="1" applyAlignment="1">
      <alignment horizontal="center" vertical="center"/>
    </xf>
    <xf numFmtId="165" fontId="28" fillId="0" borderId="7" xfId="2" applyNumberFormat="1" applyFont="1" applyBorder="1" applyAlignment="1">
      <alignment horizontal="center" vertical="center" wrapText="1"/>
    </xf>
    <xf numFmtId="165" fontId="28" fillId="23" borderId="7" xfId="2" applyNumberFormat="1" applyFont="1" applyFill="1" applyBorder="1" applyAlignment="1">
      <alignment horizontal="center" vertical="center" wrapText="1"/>
    </xf>
    <xf numFmtId="10" fontId="28" fillId="0" borderId="7" xfId="2" applyNumberFormat="1" applyFont="1" applyBorder="1" applyAlignment="1">
      <alignment horizontal="center" vertical="center" wrapText="1"/>
    </xf>
    <xf numFmtId="10" fontId="28" fillId="23" borderId="7" xfId="2" applyNumberFormat="1" applyFont="1" applyFill="1" applyBorder="1" applyAlignment="1">
      <alignment horizontal="center" vertical="center" wrapText="1"/>
    </xf>
    <xf numFmtId="165" fontId="0" fillId="2" borderId="0" xfId="0" applyNumberFormat="1" applyFill="1"/>
    <xf numFmtId="165" fontId="28" fillId="0" borderId="19" xfId="2" applyNumberFormat="1" applyFont="1" applyBorder="1" applyAlignment="1">
      <alignment horizontal="center" vertical="center" wrapText="1"/>
    </xf>
    <xf numFmtId="165" fontId="142" fillId="35" borderId="19" xfId="2" applyNumberFormat="1" applyFont="1" applyFill="1" applyBorder="1" applyAlignment="1">
      <alignment horizontal="center" vertical="center" wrapText="1"/>
    </xf>
    <xf numFmtId="165" fontId="142" fillId="27" borderId="19" xfId="2" applyNumberFormat="1" applyFont="1" applyFill="1" applyBorder="1" applyAlignment="1">
      <alignment horizontal="center" vertical="center" wrapText="1"/>
    </xf>
    <xf numFmtId="165" fontId="142" fillId="14" borderId="19" xfId="2" applyNumberFormat="1" applyFont="1" applyFill="1" applyBorder="1" applyAlignment="1">
      <alignment horizontal="center" vertical="center" wrapText="1"/>
    </xf>
    <xf numFmtId="165" fontId="28" fillId="23" borderId="19" xfId="2" applyNumberFormat="1" applyFont="1" applyFill="1" applyBorder="1" applyAlignment="1">
      <alignment horizontal="center" vertical="center" wrapText="1"/>
    </xf>
    <xf numFmtId="165" fontId="142" fillId="26" borderId="7" xfId="2" applyNumberFormat="1" applyFont="1" applyFill="1" applyBorder="1" applyAlignment="1">
      <alignment horizontal="center" vertical="center" wrapText="1"/>
    </xf>
    <xf numFmtId="165" fontId="142" fillId="12" borderId="97" xfId="2" applyNumberFormat="1" applyFont="1" applyFill="1" applyBorder="1" applyAlignment="1">
      <alignment horizontal="center" vertical="center" wrapText="1"/>
    </xf>
    <xf numFmtId="165" fontId="28" fillId="23" borderId="97" xfId="2" applyNumberFormat="1" applyFont="1" applyFill="1" applyBorder="1" applyAlignment="1">
      <alignment horizontal="center" vertical="center" wrapText="1"/>
    </xf>
    <xf numFmtId="165" fontId="142" fillId="12" borderId="103" xfId="2" applyNumberFormat="1" applyFont="1" applyFill="1" applyBorder="1" applyAlignment="1">
      <alignment horizontal="center" vertical="center" wrapText="1"/>
    </xf>
    <xf numFmtId="165" fontId="142" fillId="36" borderId="7" xfId="2" applyNumberFormat="1" applyFont="1" applyFill="1" applyBorder="1" applyAlignment="1">
      <alignment horizontal="center" vertical="center" wrapText="1"/>
    </xf>
    <xf numFmtId="165" fontId="28" fillId="29" borderId="7" xfId="2" applyNumberFormat="1" applyFont="1" applyFill="1" applyBorder="1" applyAlignment="1">
      <alignment horizontal="center" vertical="center" wrapText="1"/>
    </xf>
    <xf numFmtId="0" fontId="0" fillId="0" borderId="0" xfId="0" applyAlignment="1"/>
    <xf numFmtId="0" fontId="1" fillId="0" borderId="7" xfId="0" applyNumberFormat="1" applyFont="1" applyBorder="1" applyAlignment="1">
      <alignment horizontal="center" vertical="center"/>
    </xf>
    <xf numFmtId="0" fontId="1" fillId="6" borderId="7" xfId="0" applyNumberFormat="1" applyFont="1" applyFill="1" applyBorder="1" applyAlignment="1">
      <alignment horizontal="center" vertical="center"/>
    </xf>
    <xf numFmtId="0" fontId="1" fillId="0" borderId="0" xfId="0" applyFont="1" applyFill="1" applyBorder="1"/>
    <xf numFmtId="0" fontId="160" fillId="40" borderId="181" xfId="0" applyFont="1" applyFill="1" applyBorder="1" applyAlignment="1">
      <alignment horizontal="center" vertical="center"/>
    </xf>
    <xf numFmtId="0" fontId="160" fillId="40" borderId="180" xfId="0" applyFont="1" applyFill="1" applyBorder="1" applyAlignment="1">
      <alignment horizontal="center" vertical="center"/>
    </xf>
    <xf numFmtId="9" fontId="160" fillId="40" borderId="180" xfId="0" applyNumberFormat="1" applyFont="1" applyFill="1" applyBorder="1" applyAlignment="1">
      <alignment horizontal="center" vertical="center"/>
    </xf>
    <xf numFmtId="0" fontId="160" fillId="40" borderId="175" xfId="0" applyFont="1" applyFill="1" applyBorder="1" applyAlignment="1">
      <alignment horizontal="center" vertical="center"/>
    </xf>
    <xf numFmtId="0" fontId="160" fillId="40" borderId="0" xfId="0" applyFont="1" applyFill="1" applyBorder="1" applyAlignment="1">
      <alignment horizontal="center" vertical="center"/>
    </xf>
    <xf numFmtId="9" fontId="160" fillId="40" borderId="0" xfId="0" applyNumberFormat="1" applyFont="1" applyFill="1" applyBorder="1" applyAlignment="1">
      <alignment horizontal="center" vertical="center"/>
    </xf>
    <xf numFmtId="9" fontId="134" fillId="40" borderId="182" xfId="0" applyNumberFormat="1" applyFont="1" applyFill="1" applyBorder="1" applyAlignment="1">
      <alignment horizontal="center" vertical="center"/>
    </xf>
    <xf numFmtId="9" fontId="134" fillId="40" borderId="183" xfId="0" applyNumberFormat="1" applyFont="1" applyFill="1" applyBorder="1" applyAlignment="1">
      <alignment horizontal="center" vertical="center"/>
    </xf>
    <xf numFmtId="0" fontId="134" fillId="40" borderId="196" xfId="0" applyFont="1" applyFill="1" applyBorder="1" applyAlignment="1">
      <alignment horizontal="center" vertical="center"/>
    </xf>
    <xf numFmtId="9" fontId="134" fillId="40" borderId="196" xfId="0" applyNumberFormat="1" applyFont="1" applyFill="1" applyBorder="1" applyAlignment="1">
      <alignment horizontal="center" vertical="center"/>
    </xf>
    <xf numFmtId="9" fontId="156" fillId="40" borderId="196" xfId="0" applyNumberFormat="1" applyFont="1" applyFill="1" applyBorder="1" applyAlignment="1">
      <alignment horizontal="center" vertical="center"/>
    </xf>
    <xf numFmtId="0" fontId="134" fillId="40" borderId="197" xfId="0" applyFont="1" applyFill="1" applyBorder="1" applyAlignment="1">
      <alignment horizontal="center" vertical="center"/>
    </xf>
    <xf numFmtId="9" fontId="134" fillId="40" borderId="197" xfId="0" applyNumberFormat="1" applyFont="1" applyFill="1" applyBorder="1" applyAlignment="1">
      <alignment horizontal="center" vertical="center"/>
    </xf>
    <xf numFmtId="9" fontId="156" fillId="40" borderId="197" xfId="0" applyNumberFormat="1" applyFont="1" applyFill="1" applyBorder="1" applyAlignment="1">
      <alignment horizontal="center" vertical="center"/>
    </xf>
    <xf numFmtId="0" fontId="134" fillId="40" borderId="198" xfId="0" applyFont="1" applyFill="1" applyBorder="1" applyAlignment="1">
      <alignment horizontal="center" vertical="center"/>
    </xf>
    <xf numFmtId="9" fontId="134" fillId="40" borderId="198" xfId="0" applyNumberFormat="1" applyFont="1" applyFill="1" applyBorder="1" applyAlignment="1">
      <alignment horizontal="center" vertical="center"/>
    </xf>
    <xf numFmtId="9" fontId="156" fillId="40" borderId="198" xfId="0" applyNumberFormat="1" applyFont="1" applyFill="1" applyBorder="1" applyAlignment="1">
      <alignment horizontal="center" vertical="center"/>
    </xf>
    <xf numFmtId="0" fontId="134" fillId="40" borderId="195" xfId="0" applyFont="1" applyFill="1" applyBorder="1" applyAlignment="1">
      <alignment horizontal="center" vertical="center"/>
    </xf>
    <xf numFmtId="9" fontId="134" fillId="40" borderId="195" xfId="0" applyNumberFormat="1" applyFont="1" applyFill="1" applyBorder="1" applyAlignment="1">
      <alignment horizontal="center" vertical="center"/>
    </xf>
    <xf numFmtId="0" fontId="135" fillId="23" borderId="7" xfId="0" applyFont="1" applyFill="1" applyBorder="1" applyAlignment="1">
      <alignment horizontal="center" vertical="center"/>
    </xf>
    <xf numFmtId="0" fontId="135" fillId="0" borderId="7" xfId="0" applyFont="1" applyBorder="1" applyAlignment="1">
      <alignment horizontal="center" vertical="center"/>
    </xf>
    <xf numFmtId="0" fontId="135" fillId="0" borderId="7" xfId="0" applyFont="1" applyFill="1" applyBorder="1" applyAlignment="1">
      <alignment horizontal="center" vertical="center"/>
    </xf>
    <xf numFmtId="0" fontId="155" fillId="22" borderId="22" xfId="0" applyFont="1" applyFill="1" applyBorder="1" applyAlignment="1">
      <alignment horizontal="center" vertical="center"/>
    </xf>
    <xf numFmtId="0" fontId="155" fillId="22" borderId="23" xfId="0" applyFont="1" applyFill="1" applyBorder="1" applyAlignment="1">
      <alignment horizontal="center" vertical="center"/>
    </xf>
    <xf numFmtId="9" fontId="155" fillId="22" borderId="24" xfId="0" applyNumberFormat="1" applyFont="1" applyFill="1" applyBorder="1" applyAlignment="1">
      <alignment horizontal="center" vertical="center"/>
    </xf>
    <xf numFmtId="9" fontId="155" fillId="22" borderId="2" xfId="0" applyNumberFormat="1" applyFont="1" applyFill="1" applyBorder="1" applyAlignment="1">
      <alignment horizontal="center" vertical="center"/>
    </xf>
    <xf numFmtId="9" fontId="155" fillId="22" borderId="21" xfId="0" applyNumberFormat="1" applyFont="1" applyFill="1" applyBorder="1" applyAlignment="1">
      <alignment horizontal="center" vertical="center"/>
    </xf>
    <xf numFmtId="9" fontId="155" fillId="22" borderId="4" xfId="0" applyNumberFormat="1" applyFont="1" applyFill="1" applyBorder="1" applyAlignment="1">
      <alignment horizontal="center" vertical="center"/>
    </xf>
    <xf numFmtId="0" fontId="155" fillId="37" borderId="4" xfId="0" applyFont="1" applyFill="1" applyBorder="1" applyAlignment="1">
      <alignment horizontal="center" vertical="center"/>
    </xf>
    <xf numFmtId="9" fontId="155" fillId="37" borderId="4" xfId="0" applyNumberFormat="1" applyFont="1" applyFill="1" applyBorder="1" applyAlignment="1">
      <alignment horizontal="center" vertical="center"/>
    </xf>
    <xf numFmtId="9" fontId="155" fillId="37" borderId="3" xfId="0" applyNumberFormat="1" applyFont="1" applyFill="1" applyBorder="1" applyAlignment="1">
      <alignment horizontal="center" vertical="center"/>
    </xf>
    <xf numFmtId="0" fontId="155" fillId="3" borderId="2" xfId="0" applyFont="1" applyFill="1" applyBorder="1" applyAlignment="1">
      <alignment horizontal="center" vertical="center"/>
    </xf>
    <xf numFmtId="9" fontId="155" fillId="3" borderId="2" xfId="0" applyNumberFormat="1" applyFont="1" applyFill="1" applyBorder="1" applyAlignment="1">
      <alignment horizontal="center" vertical="center"/>
    </xf>
    <xf numFmtId="0" fontId="155" fillId="3" borderId="6" xfId="0" applyFont="1" applyFill="1" applyBorder="1" applyAlignment="1">
      <alignment horizontal="center" vertical="center"/>
    </xf>
    <xf numFmtId="9" fontId="155" fillId="3" borderId="14" xfId="0" applyNumberFormat="1" applyFont="1" applyFill="1" applyBorder="1" applyAlignment="1">
      <alignment horizontal="center" vertical="center"/>
    </xf>
    <xf numFmtId="9" fontId="155" fillId="3" borderId="6" xfId="0" applyNumberFormat="1" applyFont="1" applyFill="1" applyBorder="1" applyAlignment="1">
      <alignment horizontal="center" vertical="center"/>
    </xf>
    <xf numFmtId="9" fontId="155" fillId="3" borderId="35" xfId="0" applyNumberFormat="1" applyFont="1" applyFill="1" applyBorder="1" applyAlignment="1">
      <alignment horizontal="center" vertical="center"/>
    </xf>
    <xf numFmtId="0" fontId="155" fillId="3" borderId="7" xfId="0" applyFont="1" applyFill="1" applyBorder="1" applyAlignment="1">
      <alignment horizontal="center" vertical="center"/>
    </xf>
    <xf numFmtId="9" fontId="155" fillId="3" borderId="24" xfId="0" applyNumberFormat="1" applyFont="1" applyFill="1" applyBorder="1" applyAlignment="1">
      <alignment horizontal="center" vertical="center"/>
    </xf>
    <xf numFmtId="9" fontId="155" fillId="3" borderId="4" xfId="0" applyNumberFormat="1" applyFont="1" applyFill="1" applyBorder="1" applyAlignment="1">
      <alignment horizontal="center" vertical="center"/>
    </xf>
    <xf numFmtId="1" fontId="25" fillId="0" borderId="0" xfId="0" applyNumberFormat="1" applyFont="1" applyFill="1" applyBorder="1" applyAlignment="1">
      <alignment horizontal="center"/>
    </xf>
    <xf numFmtId="1" fontId="0" fillId="0" borderId="0" xfId="0" applyNumberFormat="1" applyBorder="1"/>
    <xf numFmtId="0" fontId="161" fillId="0" borderId="0" xfId="0" applyFont="1"/>
    <xf numFmtId="0" fontId="11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" fontId="25" fillId="0" borderId="7" xfId="0" applyNumberFormat="1" applyFont="1" applyFill="1" applyBorder="1" applyAlignment="1">
      <alignment horizontal="center" vertical="center"/>
    </xf>
    <xf numFmtId="1" fontId="149" fillId="4" borderId="7" xfId="0" applyNumberFormat="1" applyFont="1" applyFill="1" applyBorder="1" applyAlignment="1">
      <alignment horizontal="center"/>
    </xf>
    <xf numFmtId="0" fontId="26" fillId="0" borderId="0" xfId="0" applyFont="1" applyFill="1" applyBorder="1" applyAlignment="1">
      <alignment vertical="center" wrapText="1"/>
    </xf>
    <xf numFmtId="0" fontId="25" fillId="0" borderId="0" xfId="0" applyFont="1" applyFill="1" applyBorder="1" applyAlignment="1"/>
    <xf numFmtId="0" fontId="26" fillId="3" borderId="6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0" fontId="155" fillId="37" borderId="4" xfId="0" applyFont="1" applyFill="1" applyBorder="1" applyAlignment="1">
      <alignment horizontal="center" vertical="center" wrapText="1"/>
    </xf>
    <xf numFmtId="1" fontId="28" fillId="0" borderId="7" xfId="0" applyNumberFormat="1" applyFont="1" applyFill="1" applyBorder="1" applyAlignment="1">
      <alignment horizontal="center" vertical="center" wrapText="1"/>
    </xf>
    <xf numFmtId="1" fontId="28" fillId="0" borderId="23" xfId="0" applyNumberFormat="1" applyFont="1" applyFill="1" applyBorder="1" applyAlignment="1">
      <alignment horizontal="center" vertical="center" wrapText="1"/>
    </xf>
    <xf numFmtId="1" fontId="28" fillId="0" borderId="31" xfId="0" applyNumberFormat="1" applyFont="1" applyFill="1" applyBorder="1" applyAlignment="1">
      <alignment horizontal="center" vertical="center" wrapText="1"/>
    </xf>
    <xf numFmtId="1" fontId="28" fillId="0" borderId="11" xfId="0" applyNumberFormat="1" applyFont="1" applyFill="1" applyBorder="1" applyAlignment="1">
      <alignment horizontal="center" vertical="center" wrapText="1"/>
    </xf>
    <xf numFmtId="1" fontId="28" fillId="0" borderId="22" xfId="0" applyNumberFormat="1" applyFont="1" applyFill="1" applyBorder="1" applyAlignment="1">
      <alignment horizontal="center" vertical="center" wrapText="1"/>
    </xf>
    <xf numFmtId="1" fontId="28" fillId="0" borderId="100" xfId="0" applyNumberFormat="1" applyFont="1" applyFill="1" applyBorder="1" applyAlignment="1">
      <alignment horizontal="center" vertical="center" wrapText="1"/>
    </xf>
    <xf numFmtId="1" fontId="28" fillId="0" borderId="96" xfId="0" applyNumberFormat="1" applyFont="1" applyFill="1" applyBorder="1" applyAlignment="1">
      <alignment horizontal="center" vertical="center" wrapText="1"/>
    </xf>
    <xf numFmtId="1" fontId="28" fillId="0" borderId="101" xfId="0" applyNumberFormat="1" applyFont="1" applyFill="1" applyBorder="1" applyAlignment="1">
      <alignment horizontal="center" vertical="center" wrapText="1"/>
    </xf>
    <xf numFmtId="1" fontId="28" fillId="0" borderId="9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33" fillId="0" borderId="0" xfId="0" applyFont="1" applyFill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28" fillId="41" borderId="208" xfId="0" applyFont="1" applyFill="1" applyBorder="1" applyAlignment="1">
      <alignment horizontal="center" vertical="center" wrapText="1"/>
    </xf>
    <xf numFmtId="0" fontId="29" fillId="0" borderId="48" xfId="0" applyFont="1" applyFill="1" applyBorder="1" applyAlignment="1">
      <alignment horizontal="center" vertical="center" wrapText="1"/>
    </xf>
    <xf numFmtId="0" fontId="29" fillId="0" borderId="43" xfId="0" applyFont="1" applyFill="1" applyBorder="1" applyAlignment="1">
      <alignment horizontal="center" vertical="center" wrapText="1"/>
    </xf>
    <xf numFmtId="0" fontId="25" fillId="0" borderId="31" xfId="0" applyFont="1" applyFill="1" applyBorder="1" applyAlignment="1">
      <alignment horizontal="center" vertical="center" wrapText="1"/>
    </xf>
    <xf numFmtId="0" fontId="25" fillId="0" borderId="44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25" fillId="0" borderId="19" xfId="0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wrapText="1"/>
    </xf>
    <xf numFmtId="0" fontId="25" fillId="0" borderId="34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 wrapText="1"/>
    </xf>
    <xf numFmtId="0" fontId="25" fillId="0" borderId="23" xfId="0" applyFont="1" applyFill="1" applyBorder="1" applyAlignment="1">
      <alignment horizontal="center" vertical="center" wrapText="1"/>
    </xf>
    <xf numFmtId="0" fontId="25" fillId="0" borderId="32" xfId="0" applyFont="1" applyFill="1" applyBorder="1" applyAlignment="1">
      <alignment horizontal="center" vertical="center" wrapText="1"/>
    </xf>
    <xf numFmtId="0" fontId="28" fillId="42" borderId="208" xfId="0" applyFont="1" applyFill="1" applyBorder="1" applyAlignment="1">
      <alignment horizontal="center" vertical="center" wrapText="1"/>
    </xf>
    <xf numFmtId="1" fontId="28" fillId="42" borderId="208" xfId="3" applyNumberFormat="1" applyFont="1" applyFill="1" applyBorder="1" applyAlignment="1">
      <alignment horizontal="center" vertical="center" wrapText="1"/>
    </xf>
    <xf numFmtId="0" fontId="25" fillId="0" borderId="213" xfId="0" applyFont="1" applyFill="1" applyBorder="1" applyAlignment="1">
      <alignment horizontal="center" vertical="center" wrapText="1"/>
    </xf>
    <xf numFmtId="165" fontId="25" fillId="0" borderId="214" xfId="2" applyNumberFormat="1" applyFont="1" applyBorder="1" applyAlignment="1">
      <alignment horizontal="center" vertical="center" wrapText="1"/>
    </xf>
    <xf numFmtId="0" fontId="25" fillId="0" borderId="215" xfId="0" applyFont="1" applyFill="1" applyBorder="1" applyAlignment="1">
      <alignment horizontal="center" vertical="center" wrapText="1"/>
    </xf>
    <xf numFmtId="165" fontId="25" fillId="0" borderId="216" xfId="2" applyNumberFormat="1" applyFont="1" applyBorder="1" applyAlignment="1">
      <alignment horizontal="center" vertical="center" wrapText="1"/>
    </xf>
    <xf numFmtId="0" fontId="28" fillId="41" borderId="217" xfId="0" applyFont="1" applyFill="1" applyBorder="1" applyAlignment="1">
      <alignment horizontal="center" vertical="center" wrapText="1"/>
    </xf>
    <xf numFmtId="165" fontId="28" fillId="41" borderId="218" xfId="2" applyNumberFormat="1" applyFont="1" applyFill="1" applyBorder="1" applyAlignment="1">
      <alignment horizontal="center" vertical="center" wrapText="1"/>
    </xf>
    <xf numFmtId="165" fontId="24" fillId="0" borderId="216" xfId="2" applyNumberFormat="1" applyFont="1" applyBorder="1" applyAlignment="1">
      <alignment horizontal="center" vertical="center" wrapText="1"/>
    </xf>
    <xf numFmtId="165" fontId="28" fillId="41" borderId="218" xfId="3" applyNumberFormat="1" applyFont="1" applyFill="1" applyBorder="1" applyAlignment="1">
      <alignment horizontal="center" vertical="center" wrapText="1"/>
    </xf>
    <xf numFmtId="165" fontId="28" fillId="42" borderId="218" xfId="3" applyNumberFormat="1" applyFont="1" applyFill="1" applyBorder="1" applyAlignment="1">
      <alignment horizontal="center" vertical="center" wrapText="1"/>
    </xf>
    <xf numFmtId="0" fontId="33" fillId="41" borderId="230" xfId="0" applyFont="1" applyFill="1" applyBorder="1" applyAlignment="1">
      <alignment horizontal="center" vertical="center" wrapText="1"/>
    </xf>
    <xf numFmtId="0" fontId="33" fillId="41" borderId="231" xfId="0" applyFont="1" applyFill="1" applyBorder="1" applyAlignment="1">
      <alignment horizontal="center" vertical="center" wrapText="1"/>
    </xf>
    <xf numFmtId="165" fontId="33" fillId="41" borderId="232" xfId="2" applyNumberFormat="1" applyFont="1" applyFill="1" applyBorder="1" applyAlignment="1">
      <alignment horizontal="center" vertical="center" wrapText="1"/>
    </xf>
    <xf numFmtId="165" fontId="33" fillId="41" borderId="232" xfId="3" applyNumberFormat="1" applyFont="1" applyFill="1" applyBorder="1" applyAlignment="1">
      <alignment horizontal="center" vertical="center" wrapText="1"/>
    </xf>
    <xf numFmtId="1" fontId="33" fillId="42" borderId="231" xfId="3" applyNumberFormat="1" applyFont="1" applyFill="1" applyBorder="1" applyAlignment="1">
      <alignment horizontal="center" vertical="center" wrapText="1"/>
    </xf>
    <xf numFmtId="0" fontId="33" fillId="42" borderId="231" xfId="0" applyFont="1" applyFill="1" applyBorder="1" applyAlignment="1">
      <alignment horizontal="center" vertical="center" wrapText="1"/>
    </xf>
    <xf numFmtId="165" fontId="33" fillId="42" borderId="232" xfId="3" applyNumberFormat="1" applyFont="1" applyFill="1" applyBorder="1" applyAlignment="1">
      <alignment horizontal="center" vertical="center" wrapText="1"/>
    </xf>
    <xf numFmtId="0" fontId="28" fillId="42" borderId="212" xfId="0" applyFont="1" applyFill="1" applyBorder="1" applyAlignment="1">
      <alignment horizontal="center" vertical="center" wrapText="1"/>
    </xf>
    <xf numFmtId="0" fontId="33" fillId="42" borderId="233" xfId="0" applyFont="1" applyFill="1" applyBorder="1" applyAlignment="1">
      <alignment horizontal="center" vertical="center" wrapText="1"/>
    </xf>
    <xf numFmtId="1" fontId="28" fillId="42" borderId="217" xfId="3" applyNumberFormat="1" applyFont="1" applyFill="1" applyBorder="1" applyAlignment="1">
      <alignment horizontal="center" vertical="center" wrapText="1"/>
    </xf>
    <xf numFmtId="1" fontId="33" fillId="42" borderId="230" xfId="3" applyNumberFormat="1" applyFont="1" applyFill="1" applyBorder="1" applyAlignment="1">
      <alignment horizontal="center" vertical="center" wrapText="1"/>
    </xf>
    <xf numFmtId="0" fontId="27" fillId="41" borderId="238" xfId="0" applyFont="1" applyFill="1" applyBorder="1" applyAlignment="1">
      <alignment horizontal="center" vertical="center" wrapText="1"/>
    </xf>
    <xf numFmtId="0" fontId="27" fillId="41" borderId="239" xfId="0" applyFont="1" applyFill="1" applyBorder="1" applyAlignment="1">
      <alignment horizontal="center" vertical="center" wrapText="1"/>
    </xf>
    <xf numFmtId="0" fontId="27" fillId="41" borderId="240" xfId="0" applyFont="1" applyFill="1" applyBorder="1" applyAlignment="1">
      <alignment horizontal="center" vertical="center" wrapText="1"/>
    </xf>
    <xf numFmtId="0" fontId="27" fillId="42" borderId="238" xfId="0" applyFont="1" applyFill="1" applyBorder="1" applyAlignment="1">
      <alignment horizontal="center" vertical="center" wrapText="1"/>
    </xf>
    <xf numFmtId="0" fontId="27" fillId="42" borderId="239" xfId="0" applyFont="1" applyFill="1" applyBorder="1" applyAlignment="1">
      <alignment horizontal="center" vertical="center" wrapText="1"/>
    </xf>
    <xf numFmtId="0" fontId="27" fillId="42" borderId="240" xfId="0" applyFont="1" applyFill="1" applyBorder="1" applyAlignment="1">
      <alignment horizontal="center" vertical="center" wrapText="1"/>
    </xf>
    <xf numFmtId="0" fontId="27" fillId="42" borderId="241" xfId="0" applyFont="1" applyFill="1" applyBorder="1" applyAlignment="1">
      <alignment horizontal="center" vertical="center" wrapText="1"/>
    </xf>
    <xf numFmtId="1" fontId="24" fillId="0" borderId="237" xfId="2" applyNumberFormat="1" applyFont="1" applyBorder="1" applyAlignment="1">
      <alignment horizontal="center" vertical="center" wrapText="1"/>
    </xf>
    <xf numFmtId="1" fontId="24" fillId="0" borderId="0" xfId="2" applyNumberFormat="1" applyFont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1" fontId="25" fillId="0" borderId="213" xfId="2" applyNumberFormat="1" applyFont="1" applyBorder="1" applyAlignment="1">
      <alignment horizontal="center" vertical="center" wrapText="1"/>
    </xf>
    <xf numFmtId="1" fontId="25" fillId="0" borderId="32" xfId="2" applyNumberFormat="1" applyFont="1" applyBorder="1" applyAlignment="1">
      <alignment horizontal="center" vertical="center" wrapText="1"/>
    </xf>
    <xf numFmtId="1" fontId="25" fillId="0" borderId="215" xfId="2" applyNumberFormat="1" applyFont="1" applyBorder="1" applyAlignment="1">
      <alignment horizontal="center" vertical="center" wrapText="1"/>
    </xf>
    <xf numFmtId="1" fontId="25" fillId="0" borderId="7" xfId="2" applyNumberFormat="1" applyFont="1" applyBorder="1" applyAlignment="1">
      <alignment horizontal="center" vertical="center" wrapText="1"/>
    </xf>
    <xf numFmtId="1" fontId="25" fillId="0" borderId="219" xfId="2" applyNumberFormat="1" applyFont="1" applyBorder="1" applyAlignment="1">
      <alignment horizontal="center" vertical="center" wrapText="1"/>
    </xf>
    <xf numFmtId="1" fontId="25" fillId="0" borderId="23" xfId="2" applyNumberFormat="1" applyFont="1" applyBorder="1" applyAlignment="1">
      <alignment horizontal="center" vertical="center" wrapText="1"/>
    </xf>
    <xf numFmtId="1" fontId="25" fillId="0" borderId="234" xfId="2" applyNumberFormat="1" applyFont="1" applyBorder="1" applyAlignment="1">
      <alignment horizontal="center" vertical="center" wrapText="1"/>
    </xf>
    <xf numFmtId="1" fontId="25" fillId="0" borderId="49" xfId="2" applyNumberFormat="1" applyFont="1" applyBorder="1" applyAlignment="1">
      <alignment horizontal="center" vertical="center" wrapText="1"/>
    </xf>
    <xf numFmtId="1" fontId="25" fillId="0" borderId="235" xfId="2" applyNumberFormat="1" applyFont="1" applyBorder="1" applyAlignment="1">
      <alignment horizontal="center" vertical="center" wrapText="1"/>
    </xf>
    <xf numFmtId="1" fontId="25" fillId="0" borderId="50" xfId="2" applyNumberFormat="1" applyFont="1" applyBorder="1" applyAlignment="1">
      <alignment horizontal="center" vertical="center" wrapText="1"/>
    </xf>
    <xf numFmtId="1" fontId="25" fillId="0" borderId="236" xfId="2" applyNumberFormat="1" applyFont="1" applyBorder="1" applyAlignment="1">
      <alignment horizontal="center" vertical="center" wrapText="1"/>
    </xf>
    <xf numFmtId="1" fontId="25" fillId="0" borderId="28" xfId="2" applyNumberFormat="1" applyFont="1" applyBorder="1" applyAlignment="1">
      <alignment horizontal="center" vertical="center" wrapText="1"/>
    </xf>
    <xf numFmtId="0" fontId="25" fillId="0" borderId="219" xfId="0" applyFont="1" applyFill="1" applyBorder="1" applyAlignment="1">
      <alignment horizontal="center" vertical="center" wrapText="1"/>
    </xf>
    <xf numFmtId="0" fontId="29" fillId="0" borderId="220" xfId="0" applyFont="1" applyFill="1" applyBorder="1" applyAlignment="1">
      <alignment horizontal="center" vertical="center" wrapText="1"/>
    </xf>
    <xf numFmtId="9" fontId="25" fillId="43" borderId="163" xfId="2" applyFont="1" applyFill="1" applyBorder="1" applyAlignment="1">
      <alignment horizontal="center"/>
    </xf>
    <xf numFmtId="9" fontId="25" fillId="43" borderId="163" xfId="0" applyNumberFormat="1" applyFont="1" applyFill="1" applyBorder="1" applyAlignment="1">
      <alignment horizontal="center" vertical="center"/>
    </xf>
    <xf numFmtId="9" fontId="28" fillId="31" borderId="163" xfId="0" applyNumberFormat="1" applyFont="1" applyFill="1" applyBorder="1" applyAlignment="1">
      <alignment horizontal="center" vertical="center"/>
    </xf>
    <xf numFmtId="9" fontId="25" fillId="0" borderId="44" xfId="0" applyNumberFormat="1" applyFont="1" applyBorder="1" applyAlignment="1">
      <alignment horizontal="center"/>
    </xf>
    <xf numFmtId="9" fontId="25" fillId="23" borderId="44" xfId="0" applyNumberFormat="1" applyFont="1" applyFill="1" applyBorder="1" applyAlignment="1">
      <alignment horizontal="center"/>
    </xf>
    <xf numFmtId="9" fontId="28" fillId="3" borderId="10" xfId="0" applyNumberFormat="1" applyFont="1" applyFill="1" applyBorder="1" applyAlignment="1">
      <alignment horizontal="center" vertical="center"/>
    </xf>
    <xf numFmtId="9" fontId="25" fillId="44" borderId="163" xfId="2" applyFont="1" applyFill="1" applyBorder="1" applyAlignment="1">
      <alignment horizontal="center"/>
    </xf>
    <xf numFmtId="9" fontId="25" fillId="44" borderId="163" xfId="0" applyNumberFormat="1" applyFont="1" applyFill="1" applyBorder="1" applyAlignment="1">
      <alignment horizontal="center" vertical="center"/>
    </xf>
    <xf numFmtId="9" fontId="28" fillId="45" borderId="163" xfId="0" applyNumberFormat="1" applyFont="1" applyFill="1" applyBorder="1" applyAlignment="1">
      <alignment horizontal="center" vertical="center"/>
    </xf>
    <xf numFmtId="0" fontId="58" fillId="3" borderId="5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0" fillId="0" borderId="19" xfId="0" applyBorder="1" applyAlignment="1">
      <alignment horizontal="center"/>
    </xf>
    <xf numFmtId="0" fontId="48" fillId="0" borderId="250" xfId="0" applyFont="1" applyFill="1" applyBorder="1" applyAlignment="1">
      <alignment vertical="center" wrapText="1"/>
    </xf>
    <xf numFmtId="0" fontId="27" fillId="0" borderId="250" xfId="0" applyFont="1" applyFill="1" applyBorder="1" applyAlignment="1">
      <alignment vertical="center" wrapText="1"/>
    </xf>
    <xf numFmtId="0" fontId="0" fillId="0" borderId="251" xfId="0" applyBorder="1" applyAlignment="1">
      <alignment horizontal="center"/>
    </xf>
    <xf numFmtId="0" fontId="0" fillId="0" borderId="109" xfId="0" applyBorder="1" applyAlignment="1">
      <alignment horizontal="center"/>
    </xf>
    <xf numFmtId="0" fontId="25" fillId="0" borderId="44" xfId="0" applyFont="1" applyBorder="1" applyAlignment="1">
      <alignment horizontal="center" vertical="center"/>
    </xf>
    <xf numFmtId="0" fontId="25" fillId="4" borderId="3" xfId="0" applyFont="1" applyFill="1" applyBorder="1" applyAlignment="1">
      <alignment horizontal="center" vertical="center"/>
    </xf>
    <xf numFmtId="165" fontId="25" fillId="0" borderId="49" xfId="2" applyNumberFormat="1" applyFont="1" applyBorder="1" applyAlignment="1">
      <alignment horizontal="center" vertical="center" wrapText="1"/>
    </xf>
    <xf numFmtId="165" fontId="25" fillId="0" borderId="50" xfId="2" applyNumberFormat="1" applyFont="1" applyBorder="1" applyAlignment="1">
      <alignment horizontal="center" vertical="center" wrapText="1"/>
    </xf>
    <xf numFmtId="165" fontId="28" fillId="41" borderId="50" xfId="3" applyNumberFormat="1" applyFont="1" applyFill="1" applyBorder="1" applyAlignment="1">
      <alignment horizontal="center" vertical="center" wrapText="1"/>
    </xf>
    <xf numFmtId="1" fontId="28" fillId="41" borderId="50" xfId="3" applyNumberFormat="1" applyFont="1" applyFill="1" applyBorder="1" applyAlignment="1">
      <alignment horizontal="center" vertical="center" wrapText="1"/>
    </xf>
    <xf numFmtId="1" fontId="33" fillId="41" borderId="253" xfId="3" applyNumberFormat="1" applyFont="1" applyFill="1" applyBorder="1" applyAlignment="1">
      <alignment horizontal="center" vertical="center" wrapText="1"/>
    </xf>
    <xf numFmtId="164" fontId="162" fillId="0" borderId="0" xfId="0" applyNumberFormat="1" applyFont="1" applyFill="1" applyBorder="1" applyAlignment="1">
      <alignment horizontal="center" vertical="center"/>
    </xf>
    <xf numFmtId="0" fontId="162" fillId="0" borderId="0" xfId="0" applyFont="1"/>
    <xf numFmtId="9" fontId="25" fillId="31" borderId="163" xfId="2" applyFont="1" applyFill="1" applyBorder="1" applyAlignment="1">
      <alignment horizontal="center"/>
    </xf>
    <xf numFmtId="9" fontId="25" fillId="31" borderId="163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vertical="center"/>
    </xf>
    <xf numFmtId="0" fontId="58" fillId="0" borderId="0" xfId="0" applyFont="1" applyFill="1" applyBorder="1" applyAlignment="1">
      <alignment vertical="center"/>
    </xf>
    <xf numFmtId="9" fontId="33" fillId="0" borderId="0" xfId="0" applyNumberFormat="1" applyFont="1" applyAlignment="1">
      <alignment vertical="center"/>
    </xf>
    <xf numFmtId="0" fontId="78" fillId="0" borderId="112" xfId="0" applyFont="1" applyBorder="1" applyAlignment="1">
      <alignment horizontal="center"/>
    </xf>
    <xf numFmtId="0" fontId="78" fillId="0" borderId="113" xfId="0" applyFont="1" applyBorder="1" applyAlignment="1">
      <alignment horizontal="center"/>
    </xf>
    <xf numFmtId="0" fontId="78" fillId="0" borderId="114" xfId="0" applyFont="1" applyBorder="1" applyAlignment="1">
      <alignment horizontal="center"/>
    </xf>
    <xf numFmtId="0" fontId="76" fillId="0" borderId="0" xfId="0" applyFont="1" applyAlignment="1">
      <alignment horizontal="center"/>
    </xf>
    <xf numFmtId="0" fontId="27" fillId="3" borderId="14" xfId="0" applyFont="1" applyFill="1" applyBorder="1" applyAlignment="1">
      <alignment horizontal="center" vertical="center"/>
    </xf>
    <xf numFmtId="0" fontId="27" fillId="3" borderId="70" xfId="0" applyFont="1" applyFill="1" applyBorder="1" applyAlignment="1">
      <alignment horizontal="center" vertical="center"/>
    </xf>
    <xf numFmtId="0" fontId="27" fillId="3" borderId="24" xfId="0" applyFont="1" applyFill="1" applyBorder="1" applyAlignment="1">
      <alignment horizontal="center" vertical="center"/>
    </xf>
    <xf numFmtId="0" fontId="27" fillId="3" borderId="10" xfId="0" applyFont="1" applyFill="1" applyBorder="1" applyAlignment="1">
      <alignment horizontal="center" vertical="center"/>
    </xf>
    <xf numFmtId="0" fontId="27" fillId="3" borderId="8" xfId="0" applyFont="1" applyFill="1" applyBorder="1" applyAlignment="1">
      <alignment horizontal="center" vertical="center"/>
    </xf>
    <xf numFmtId="0" fontId="27" fillId="3" borderId="62" xfId="0" applyFont="1" applyFill="1" applyBorder="1" applyAlignment="1">
      <alignment horizontal="center" vertical="center"/>
    </xf>
    <xf numFmtId="0" fontId="113" fillId="0" borderId="33" xfId="0" applyFont="1" applyBorder="1" applyAlignment="1">
      <alignment horizontal="center"/>
    </xf>
    <xf numFmtId="0" fontId="116" fillId="0" borderId="8" xfId="0" applyFont="1" applyBorder="1" applyAlignment="1">
      <alignment horizontal="center"/>
    </xf>
    <xf numFmtId="0" fontId="32" fillId="3" borderId="5" xfId="0" applyFont="1" applyFill="1" applyBorder="1" applyAlignment="1">
      <alignment horizontal="center" vertical="center" wrapText="1"/>
    </xf>
    <xf numFmtId="0" fontId="32" fillId="3" borderId="21" xfId="0" applyFont="1" applyFill="1" applyBorder="1" applyAlignment="1">
      <alignment horizontal="center" vertical="center" wrapText="1"/>
    </xf>
    <xf numFmtId="0" fontId="29" fillId="4" borderId="2" xfId="0" applyFont="1" applyFill="1" applyBorder="1" applyAlignment="1">
      <alignment horizontal="center" vertical="center"/>
    </xf>
    <xf numFmtId="0" fontId="29" fillId="4" borderId="6" xfId="0" applyFont="1" applyFill="1" applyBorder="1" applyAlignment="1">
      <alignment horizontal="center" vertical="center"/>
    </xf>
    <xf numFmtId="0" fontId="29" fillId="4" borderId="3" xfId="0" applyFont="1" applyFill="1" applyBorder="1" applyAlignment="1">
      <alignment horizontal="center" vertical="center"/>
    </xf>
    <xf numFmtId="0" fontId="26" fillId="3" borderId="2" xfId="0" applyFont="1" applyFill="1" applyBorder="1" applyAlignment="1">
      <alignment horizontal="center" vertical="center"/>
    </xf>
    <xf numFmtId="0" fontId="26" fillId="3" borderId="6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0" fontId="26" fillId="3" borderId="14" xfId="0" applyFont="1" applyFill="1" applyBorder="1" applyAlignment="1">
      <alignment horizontal="center" vertical="center" wrapText="1"/>
    </xf>
    <xf numFmtId="0" fontId="26" fillId="3" borderId="35" xfId="0" applyFont="1" applyFill="1" applyBorder="1" applyAlignment="1">
      <alignment horizontal="center" vertical="center" wrapText="1"/>
    </xf>
    <xf numFmtId="0" fontId="26" fillId="3" borderId="111" xfId="0" applyFont="1" applyFill="1" applyBorder="1" applyAlignment="1">
      <alignment horizontal="center" vertical="center" wrapText="1"/>
    </xf>
    <xf numFmtId="1" fontId="28" fillId="3" borderId="107" xfId="0" applyNumberFormat="1" applyFont="1" applyFill="1" applyBorder="1" applyAlignment="1">
      <alignment horizontal="center" vertical="center"/>
    </xf>
    <xf numFmtId="1" fontId="28" fillId="3" borderId="108" xfId="0" applyNumberFormat="1" applyFont="1" applyFill="1" applyBorder="1" applyAlignment="1">
      <alignment horizontal="center" vertical="center"/>
    </xf>
    <xf numFmtId="1" fontId="28" fillId="3" borderId="140" xfId="0" applyNumberFormat="1" applyFont="1" applyFill="1" applyBorder="1" applyAlignment="1">
      <alignment horizontal="center" vertical="center"/>
    </xf>
    <xf numFmtId="1" fontId="28" fillId="3" borderId="22" xfId="0" applyNumberFormat="1" applyFont="1" applyFill="1" applyBorder="1" applyAlignment="1">
      <alignment horizontal="center" vertical="center"/>
    </xf>
    <xf numFmtId="0" fontId="25" fillId="0" borderId="19" xfId="0" applyNumberFormat="1" applyFont="1" applyFill="1" applyBorder="1" applyAlignment="1">
      <alignment horizontal="center" vertical="center"/>
    </xf>
    <xf numFmtId="0" fontId="25" fillId="0" borderId="11" xfId="0" applyNumberFormat="1" applyFont="1" applyFill="1" applyBorder="1" applyAlignment="1">
      <alignment horizontal="center" vertical="center"/>
    </xf>
    <xf numFmtId="0" fontId="25" fillId="0" borderId="19" xfId="0" applyFont="1" applyBorder="1" applyAlignment="1">
      <alignment horizontal="center"/>
    </xf>
    <xf numFmtId="0" fontId="25" fillId="0" borderId="11" xfId="0" applyFont="1" applyBorder="1" applyAlignment="1">
      <alignment horizontal="center"/>
    </xf>
    <xf numFmtId="1" fontId="25" fillId="23" borderId="19" xfId="0" applyNumberFormat="1" applyFont="1" applyFill="1" applyBorder="1" applyAlignment="1">
      <alignment horizontal="center" vertical="center"/>
    </xf>
    <xf numFmtId="1" fontId="25" fillId="23" borderId="11" xfId="0" applyNumberFormat="1" applyFont="1" applyFill="1" applyBorder="1" applyAlignment="1">
      <alignment horizontal="center" vertical="center"/>
    </xf>
    <xf numFmtId="0" fontId="25" fillId="0" borderId="109" xfId="0" applyFont="1" applyBorder="1" applyAlignment="1">
      <alignment horizontal="center"/>
    </xf>
    <xf numFmtId="0" fontId="25" fillId="0" borderId="110" xfId="0" applyFont="1" applyBorder="1" applyAlignment="1">
      <alignment horizontal="center"/>
    </xf>
    <xf numFmtId="0" fontId="27" fillId="3" borderId="156" xfId="0" applyFont="1" applyFill="1" applyBorder="1" applyAlignment="1">
      <alignment horizontal="center" vertical="center" wrapText="1"/>
    </xf>
    <xf numFmtId="0" fontId="27" fillId="3" borderId="157" xfId="0" applyFont="1" applyFill="1" applyBorder="1" applyAlignment="1">
      <alignment horizontal="center" vertical="center" wrapText="1"/>
    </xf>
    <xf numFmtId="0" fontId="27" fillId="3" borderId="111" xfId="0" applyFont="1" applyFill="1" applyBorder="1" applyAlignment="1">
      <alignment horizontal="center" vertical="center" wrapText="1"/>
    </xf>
    <xf numFmtId="0" fontId="27" fillId="3" borderId="144" xfId="0" applyFont="1" applyFill="1" applyBorder="1" applyAlignment="1">
      <alignment horizontal="center" vertical="center" wrapText="1"/>
    </xf>
    <xf numFmtId="0" fontId="26" fillId="3" borderId="156" xfId="0" applyNumberFormat="1" applyFont="1" applyFill="1" applyBorder="1" applyAlignment="1">
      <alignment horizontal="center" vertical="center" wrapText="1"/>
    </xf>
    <xf numFmtId="0" fontId="26" fillId="3" borderId="157" xfId="0" applyNumberFormat="1" applyFont="1" applyFill="1" applyBorder="1" applyAlignment="1">
      <alignment horizontal="center" vertical="center" wrapText="1"/>
    </xf>
    <xf numFmtId="0" fontId="26" fillId="3" borderId="111" xfId="0" applyNumberFormat="1" applyFont="1" applyFill="1" applyBorder="1" applyAlignment="1">
      <alignment horizontal="center" vertical="center" wrapText="1"/>
    </xf>
    <xf numFmtId="0" fontId="26" fillId="3" borderId="144" xfId="0" applyNumberFormat="1" applyFont="1" applyFill="1" applyBorder="1" applyAlignment="1">
      <alignment horizontal="center" vertical="center" wrapText="1"/>
    </xf>
    <xf numFmtId="0" fontId="26" fillId="3" borderId="156" xfId="0" applyFont="1" applyFill="1" applyBorder="1" applyAlignment="1">
      <alignment horizontal="center" vertical="center" wrapText="1"/>
    </xf>
    <xf numFmtId="0" fontId="26" fillId="3" borderId="157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3" borderId="62" xfId="0" applyFont="1" applyFill="1" applyBorder="1" applyAlignment="1">
      <alignment horizontal="center" vertical="center" wrapText="1"/>
    </xf>
    <xf numFmtId="0" fontId="48" fillId="21" borderId="153" xfId="0" applyFont="1" applyFill="1" applyBorder="1" applyAlignment="1">
      <alignment horizontal="center" vertical="center" wrapText="1"/>
    </xf>
    <xf numFmtId="0" fontId="48" fillId="21" borderId="154" xfId="0" applyFont="1" applyFill="1" applyBorder="1" applyAlignment="1">
      <alignment horizontal="center" vertical="center" wrapText="1"/>
    </xf>
    <xf numFmtId="0" fontId="48" fillId="21" borderId="155" xfId="0" applyFont="1" applyFill="1" applyBorder="1" applyAlignment="1">
      <alignment horizontal="center" vertical="center" wrapText="1"/>
    </xf>
    <xf numFmtId="0" fontId="48" fillId="21" borderId="153" xfId="0" applyFont="1" applyFill="1" applyBorder="1" applyAlignment="1">
      <alignment horizontal="center" vertical="center"/>
    </xf>
    <xf numFmtId="0" fontId="48" fillId="21" borderId="154" xfId="0" applyFont="1" applyFill="1" applyBorder="1" applyAlignment="1">
      <alignment horizontal="center" vertical="center"/>
    </xf>
    <xf numFmtId="0" fontId="48" fillId="21" borderId="155" xfId="0" applyFont="1" applyFill="1" applyBorder="1" applyAlignment="1">
      <alignment horizontal="center" vertical="center"/>
    </xf>
    <xf numFmtId="1" fontId="28" fillId="3" borderId="28" xfId="0" applyNumberFormat="1" applyFont="1" applyFill="1" applyBorder="1" applyAlignment="1">
      <alignment horizontal="center" vertical="center"/>
    </xf>
    <xf numFmtId="0" fontId="115" fillId="0" borderId="0" xfId="0" applyFont="1" applyAlignment="1">
      <alignment horizontal="center" vertical="center"/>
    </xf>
    <xf numFmtId="0" fontId="27" fillId="3" borderId="5" xfId="0" applyFont="1" applyFill="1" applyBorder="1" applyAlignment="1">
      <alignment horizontal="center"/>
    </xf>
    <xf numFmtId="0" fontId="27" fillId="3" borderId="21" xfId="0" applyFont="1" applyFill="1" applyBorder="1" applyAlignment="1">
      <alignment horizontal="center"/>
    </xf>
    <xf numFmtId="0" fontId="114" fillId="0" borderId="8" xfId="0" applyFont="1" applyBorder="1" applyAlignment="1">
      <alignment horizontal="center"/>
    </xf>
    <xf numFmtId="0" fontId="27" fillId="0" borderId="2" xfId="0" applyFont="1" applyFill="1" applyBorder="1" applyAlignment="1">
      <alignment horizontal="center"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1" fontId="28" fillId="22" borderId="107" xfId="0" applyNumberFormat="1" applyFont="1" applyFill="1" applyBorder="1" applyAlignment="1">
      <alignment horizontal="center" vertical="center"/>
    </xf>
    <xf numFmtId="1" fontId="28" fillId="22" borderId="108" xfId="0" applyNumberFormat="1" applyFont="1" applyFill="1" applyBorder="1" applyAlignment="1">
      <alignment horizontal="center" vertical="center"/>
    </xf>
    <xf numFmtId="1" fontId="28" fillId="22" borderId="140" xfId="0" applyNumberFormat="1" applyFont="1" applyFill="1" applyBorder="1" applyAlignment="1">
      <alignment horizontal="center" vertical="center"/>
    </xf>
    <xf numFmtId="1" fontId="28" fillId="22" borderId="22" xfId="0" applyNumberFormat="1" applyFont="1" applyFill="1" applyBorder="1" applyAlignment="1">
      <alignment horizontal="center" vertical="center"/>
    </xf>
    <xf numFmtId="1" fontId="28" fillId="22" borderId="28" xfId="0" applyNumberFormat="1" applyFont="1" applyFill="1" applyBorder="1" applyAlignment="1">
      <alignment horizontal="center" vertical="center"/>
    </xf>
    <xf numFmtId="0" fontId="28" fillId="3" borderId="4" xfId="0" applyFont="1" applyFill="1" applyBorder="1" applyAlignment="1"/>
    <xf numFmtId="0" fontId="27" fillId="3" borderId="4" xfId="0" applyFont="1" applyFill="1" applyBorder="1" applyAlignment="1">
      <alignment horizontal="center"/>
    </xf>
    <xf numFmtId="0" fontId="115" fillId="0" borderId="0" xfId="0" applyFont="1" applyAlignment="1">
      <alignment horizontal="center"/>
    </xf>
    <xf numFmtId="0" fontId="27" fillId="0" borderId="3" xfId="0" applyFont="1" applyFill="1" applyBorder="1" applyAlignment="1">
      <alignment horizontal="center" vertical="center" wrapText="1"/>
    </xf>
    <xf numFmtId="0" fontId="25" fillId="23" borderId="19" xfId="0" applyNumberFormat="1" applyFont="1" applyFill="1" applyBorder="1" applyAlignment="1">
      <alignment horizontal="center" vertical="center"/>
    </xf>
    <xf numFmtId="0" fontId="25" fillId="23" borderId="11" xfId="0" applyNumberFormat="1" applyFont="1" applyFill="1" applyBorder="1" applyAlignment="1">
      <alignment horizontal="center" vertical="center"/>
    </xf>
    <xf numFmtId="0" fontId="25" fillId="23" borderId="19" xfId="0" applyFont="1" applyFill="1" applyBorder="1" applyAlignment="1">
      <alignment horizontal="center"/>
    </xf>
    <xf numFmtId="0" fontId="25" fillId="23" borderId="11" xfId="0" applyFont="1" applyFill="1" applyBorder="1" applyAlignment="1">
      <alignment horizontal="center"/>
    </xf>
    <xf numFmtId="0" fontId="26" fillId="45" borderId="163" xfId="0" applyFont="1" applyFill="1" applyBorder="1" applyAlignment="1">
      <alignment horizontal="center" vertical="center" wrapText="1"/>
    </xf>
    <xf numFmtId="0" fontId="26" fillId="45" borderId="163" xfId="0" applyFont="1" applyFill="1" applyBorder="1" applyAlignment="1">
      <alignment horizontal="center" vertical="center"/>
    </xf>
    <xf numFmtId="0" fontId="1" fillId="44" borderId="170" xfId="0" applyFont="1" applyFill="1" applyBorder="1" applyAlignment="1">
      <alignment horizontal="center"/>
    </xf>
    <xf numFmtId="0" fontId="1" fillId="44" borderId="242" xfId="0" applyFont="1" applyFill="1" applyBorder="1" applyAlignment="1">
      <alignment horizontal="center"/>
    </xf>
    <xf numFmtId="0" fontId="25" fillId="44" borderId="163" xfId="0" applyFont="1" applyFill="1" applyBorder="1" applyAlignment="1">
      <alignment horizontal="center"/>
    </xf>
    <xf numFmtId="1" fontId="28" fillId="21" borderId="107" xfId="0" applyNumberFormat="1" applyFont="1" applyFill="1" applyBorder="1" applyAlignment="1">
      <alignment horizontal="center" vertical="center"/>
    </xf>
    <xf numFmtId="1" fontId="28" fillId="21" borderId="108" xfId="0" applyNumberFormat="1" applyFont="1" applyFill="1" applyBorder="1" applyAlignment="1">
      <alignment horizontal="center" vertical="center"/>
    </xf>
    <xf numFmtId="0" fontId="27" fillId="45" borderId="163" xfId="0" applyFont="1" applyFill="1" applyBorder="1" applyAlignment="1">
      <alignment horizontal="center" vertical="center" wrapText="1"/>
    </xf>
    <xf numFmtId="1" fontId="28" fillId="45" borderId="163" xfId="0" applyNumberFormat="1" applyFont="1" applyFill="1" applyBorder="1" applyAlignment="1">
      <alignment horizontal="center" vertical="center"/>
    </xf>
    <xf numFmtId="1" fontId="25" fillId="43" borderId="163" xfId="0" applyNumberFormat="1" applyFont="1" applyFill="1" applyBorder="1" applyAlignment="1">
      <alignment horizontal="center" vertical="center"/>
    </xf>
    <xf numFmtId="0" fontId="1" fillId="43" borderId="170" xfId="0" applyFont="1" applyFill="1" applyBorder="1" applyAlignment="1">
      <alignment horizontal="center"/>
    </xf>
    <xf numFmtId="0" fontId="0" fillId="43" borderId="242" xfId="0" applyFill="1" applyBorder="1" applyAlignment="1">
      <alignment horizontal="center"/>
    </xf>
    <xf numFmtId="0" fontId="0" fillId="43" borderId="243" xfId="0" applyFill="1" applyBorder="1" applyAlignment="1">
      <alignment horizontal="center"/>
    </xf>
    <xf numFmtId="0" fontId="29" fillId="31" borderId="163" xfId="0" applyFont="1" applyFill="1" applyBorder="1" applyAlignment="1">
      <alignment horizontal="center" vertical="center" wrapText="1"/>
    </xf>
    <xf numFmtId="0" fontId="29" fillId="31" borderId="163" xfId="0" applyFont="1" applyFill="1" applyBorder="1" applyAlignment="1">
      <alignment horizontal="center" vertical="center"/>
    </xf>
    <xf numFmtId="0" fontId="25" fillId="31" borderId="163" xfId="0" applyFont="1" applyFill="1" applyBorder="1" applyAlignment="1">
      <alignment horizontal="center" vertical="center" wrapText="1"/>
    </xf>
    <xf numFmtId="0" fontId="25" fillId="31" borderId="163" xfId="0" applyFont="1" applyFill="1" applyBorder="1" applyAlignment="1">
      <alignment horizontal="center" vertical="center"/>
    </xf>
    <xf numFmtId="0" fontId="25" fillId="31" borderId="244" xfId="0" applyFont="1" applyFill="1" applyBorder="1" applyAlignment="1">
      <alignment horizontal="center" vertical="center"/>
    </xf>
    <xf numFmtId="0" fontId="25" fillId="31" borderId="245" xfId="0" applyFont="1" applyFill="1" applyBorder="1" applyAlignment="1">
      <alignment horizontal="center" vertical="center"/>
    </xf>
    <xf numFmtId="0" fontId="1" fillId="43" borderId="242" xfId="0" applyFont="1" applyFill="1" applyBorder="1" applyAlignment="1">
      <alignment horizontal="center"/>
    </xf>
    <xf numFmtId="0" fontId="1" fillId="43" borderId="243" xfId="0" applyFont="1" applyFill="1" applyBorder="1" applyAlignment="1">
      <alignment horizontal="center"/>
    </xf>
    <xf numFmtId="0" fontId="25" fillId="31" borderId="246" xfId="0" applyFont="1" applyFill="1" applyBorder="1" applyAlignment="1">
      <alignment horizontal="center" vertical="center" wrapText="1"/>
    </xf>
    <xf numFmtId="0" fontId="25" fillId="31" borderId="247" xfId="0" applyFont="1" applyFill="1" applyBorder="1" applyAlignment="1">
      <alignment horizontal="center" vertical="center" wrapText="1"/>
    </xf>
    <xf numFmtId="0" fontId="25" fillId="31" borderId="248" xfId="0" applyFont="1" applyFill="1" applyBorder="1" applyAlignment="1">
      <alignment horizontal="center" vertical="center" wrapText="1"/>
    </xf>
    <xf numFmtId="0" fontId="25" fillId="31" borderId="249" xfId="0" applyFont="1" applyFill="1" applyBorder="1" applyAlignment="1">
      <alignment horizontal="center" vertical="center" wrapText="1"/>
    </xf>
    <xf numFmtId="1" fontId="28" fillId="31" borderId="163" xfId="0" applyNumberFormat="1" applyFont="1" applyFill="1" applyBorder="1" applyAlignment="1">
      <alignment horizontal="center" vertical="center"/>
    </xf>
    <xf numFmtId="0" fontId="25" fillId="43" borderId="163" xfId="0" applyFont="1" applyFill="1" applyBorder="1" applyAlignment="1">
      <alignment horizontal="center"/>
    </xf>
    <xf numFmtId="1" fontId="25" fillId="43" borderId="170" xfId="0" applyNumberFormat="1" applyFont="1" applyFill="1" applyBorder="1" applyAlignment="1">
      <alignment horizontal="center" vertical="center"/>
    </xf>
    <xf numFmtId="1" fontId="25" fillId="43" borderId="243" xfId="0" applyNumberFormat="1" applyFont="1" applyFill="1" applyBorder="1" applyAlignment="1">
      <alignment horizontal="center" vertical="center"/>
    </xf>
    <xf numFmtId="0" fontId="25" fillId="43" borderId="170" xfId="0" applyFont="1" applyFill="1" applyBorder="1" applyAlignment="1">
      <alignment horizontal="center"/>
    </xf>
    <xf numFmtId="0" fontId="25" fillId="43" borderId="243" xfId="0" applyFont="1" applyFill="1" applyBorder="1" applyAlignment="1">
      <alignment horizontal="center"/>
    </xf>
    <xf numFmtId="0" fontId="29" fillId="0" borderId="0" xfId="0" applyFont="1" applyFill="1" applyBorder="1" applyAlignment="1">
      <alignment horizontal="left" vertical="center"/>
    </xf>
    <xf numFmtId="1" fontId="28" fillId="31" borderId="170" xfId="0" applyNumberFormat="1" applyFont="1" applyFill="1" applyBorder="1" applyAlignment="1">
      <alignment horizontal="center" vertical="center"/>
    </xf>
    <xf numFmtId="1" fontId="28" fillId="31" borderId="243" xfId="0" applyNumberFormat="1" applyFont="1" applyFill="1" applyBorder="1" applyAlignment="1">
      <alignment horizontal="center" vertical="center"/>
    </xf>
    <xf numFmtId="0" fontId="29" fillId="31" borderId="170" xfId="0" applyFont="1" applyFill="1" applyBorder="1" applyAlignment="1">
      <alignment horizontal="center" vertical="center"/>
    </xf>
    <xf numFmtId="0" fontId="29" fillId="31" borderId="242" xfId="0" applyFont="1" applyFill="1" applyBorder="1" applyAlignment="1">
      <alignment horizontal="center" vertical="center"/>
    </xf>
    <xf numFmtId="0" fontId="29" fillId="31" borderId="243" xfId="0" applyFont="1" applyFill="1" applyBorder="1" applyAlignment="1">
      <alignment horizontal="center" vertical="center"/>
    </xf>
    <xf numFmtId="0" fontId="29" fillId="31" borderId="170" xfId="0" applyFont="1" applyFill="1" applyBorder="1" applyAlignment="1">
      <alignment horizontal="center" vertical="center" wrapText="1"/>
    </xf>
    <xf numFmtId="0" fontId="29" fillId="31" borderId="242" xfId="0" applyFont="1" applyFill="1" applyBorder="1" applyAlignment="1">
      <alignment horizontal="center" vertical="center" wrapText="1"/>
    </xf>
    <xf numFmtId="0" fontId="29" fillId="31" borderId="243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118" fillId="0" borderId="0" xfId="0" applyFont="1" applyAlignment="1">
      <alignment horizontal="center"/>
    </xf>
    <xf numFmtId="0" fontId="25" fillId="0" borderId="50" xfId="0" applyNumberFormat="1" applyFont="1" applyFill="1" applyBorder="1" applyAlignment="1">
      <alignment horizontal="center" vertical="center"/>
    </xf>
    <xf numFmtId="0" fontId="25" fillId="23" borderId="109" xfId="0" applyFont="1" applyFill="1" applyBorder="1" applyAlignment="1">
      <alignment horizontal="center"/>
    </xf>
    <xf numFmtId="0" fontId="25" fillId="23" borderId="110" xfId="0" applyFont="1" applyFill="1" applyBorder="1" applyAlignment="1">
      <alignment horizontal="center"/>
    </xf>
    <xf numFmtId="0" fontId="25" fillId="23" borderId="50" xfId="0" applyNumberFormat="1" applyFont="1" applyFill="1" applyBorder="1" applyAlignment="1">
      <alignment horizontal="center" vertical="center"/>
    </xf>
    <xf numFmtId="1" fontId="28" fillId="3" borderId="142" xfId="0" applyNumberFormat="1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1" fontId="28" fillId="23" borderId="19" xfId="0" applyNumberFormat="1" applyFont="1" applyFill="1" applyBorder="1" applyAlignment="1">
      <alignment horizontal="center" vertical="center"/>
    </xf>
    <xf numFmtId="1" fontId="28" fillId="23" borderId="11" xfId="0" applyNumberFormat="1" applyFont="1" applyFill="1" applyBorder="1" applyAlignment="1">
      <alignment horizontal="center" vertical="center"/>
    </xf>
    <xf numFmtId="0" fontId="28" fillId="3" borderId="5" xfId="0" applyFont="1" applyFill="1" applyBorder="1" applyAlignment="1">
      <alignment horizontal="center"/>
    </xf>
    <xf numFmtId="0" fontId="28" fillId="3" borderId="21" xfId="0" applyFont="1" applyFill="1" applyBorder="1" applyAlignment="1">
      <alignment horizontal="center"/>
    </xf>
    <xf numFmtId="0" fontId="1" fillId="44" borderId="163" xfId="0" applyFont="1" applyFill="1" applyBorder="1" applyAlignment="1">
      <alignment horizontal="center"/>
    </xf>
    <xf numFmtId="0" fontId="0" fillId="44" borderId="163" xfId="0" applyFill="1" applyBorder="1" applyAlignment="1">
      <alignment horizontal="center"/>
    </xf>
    <xf numFmtId="1" fontId="25" fillId="44" borderId="163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center"/>
    </xf>
    <xf numFmtId="1" fontId="28" fillId="0" borderId="0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 vertical="center" wrapText="1"/>
    </xf>
    <xf numFmtId="0" fontId="27" fillId="21" borderId="153" xfId="0" applyFont="1" applyFill="1" applyBorder="1" applyAlignment="1">
      <alignment horizontal="center" vertical="center"/>
    </xf>
    <xf numFmtId="0" fontId="27" fillId="21" borderId="154" xfId="0" applyFont="1" applyFill="1" applyBorder="1" applyAlignment="1">
      <alignment horizontal="center" vertical="center"/>
    </xf>
    <xf numFmtId="0" fontId="27" fillId="21" borderId="155" xfId="0" applyFont="1" applyFill="1" applyBorder="1" applyAlignment="1">
      <alignment horizontal="center" vertical="center"/>
    </xf>
    <xf numFmtId="0" fontId="27" fillId="45" borderId="163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 wrapText="1"/>
    </xf>
    <xf numFmtId="0" fontId="26" fillId="3" borderId="35" xfId="0" applyFont="1" applyFill="1" applyBorder="1" applyAlignment="1">
      <alignment horizontal="center" vertical="center"/>
    </xf>
    <xf numFmtId="0" fontId="26" fillId="3" borderId="10" xfId="0" applyFont="1" applyFill="1" applyBorder="1" applyAlignment="1">
      <alignment horizontal="center" vertical="center"/>
    </xf>
    <xf numFmtId="0" fontId="27" fillId="21" borderId="153" xfId="0" applyFont="1" applyFill="1" applyBorder="1" applyAlignment="1">
      <alignment horizontal="center" vertical="center" wrapText="1"/>
    </xf>
    <xf numFmtId="0" fontId="27" fillId="21" borderId="154" xfId="0" applyFont="1" applyFill="1" applyBorder="1" applyAlignment="1">
      <alignment horizontal="center" vertical="center" wrapText="1"/>
    </xf>
    <xf numFmtId="0" fontId="27" fillId="21" borderId="155" xfId="0" applyFont="1" applyFill="1" applyBorder="1" applyAlignment="1">
      <alignment horizontal="center" vertical="center" wrapText="1"/>
    </xf>
    <xf numFmtId="0" fontId="26" fillId="3" borderId="205" xfId="0" applyNumberFormat="1" applyFont="1" applyFill="1" applyBorder="1" applyAlignment="1">
      <alignment horizontal="center" vertical="center" wrapText="1"/>
    </xf>
    <xf numFmtId="0" fontId="26" fillId="3" borderId="49" xfId="0" applyNumberFormat="1" applyFont="1" applyFill="1" applyBorder="1" applyAlignment="1">
      <alignment horizontal="center" vertical="center" wrapText="1"/>
    </xf>
    <xf numFmtId="0" fontId="27" fillId="3" borderId="5" xfId="0" applyFont="1" applyFill="1" applyBorder="1" applyAlignment="1">
      <alignment horizontal="center" vertical="center"/>
    </xf>
    <xf numFmtId="0" fontId="27" fillId="3" borderId="21" xfId="0" applyFont="1" applyFill="1" applyBorder="1" applyAlignment="1">
      <alignment horizontal="center" vertical="center"/>
    </xf>
    <xf numFmtId="0" fontId="118" fillId="0" borderId="0" xfId="0" applyFont="1" applyAlignment="1">
      <alignment horizontal="left"/>
    </xf>
    <xf numFmtId="0" fontId="0" fillId="0" borderId="0" xfId="0" applyAlignment="1"/>
    <xf numFmtId="0" fontId="26" fillId="3" borderId="144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/>
    </xf>
    <xf numFmtId="0" fontId="28" fillId="0" borderId="0" xfId="0" applyFont="1" applyFill="1" applyBorder="1" applyAlignment="1"/>
    <xf numFmtId="0" fontId="27" fillId="3" borderId="158" xfId="0" applyFont="1" applyFill="1" applyBorder="1" applyAlignment="1">
      <alignment horizontal="center"/>
    </xf>
    <xf numFmtId="1" fontId="27" fillId="3" borderId="3" xfId="0" applyNumberFormat="1" applyFont="1" applyFill="1" applyBorder="1" applyAlignment="1">
      <alignment horizontal="center" vertical="center"/>
    </xf>
    <xf numFmtId="0" fontId="27" fillId="3" borderId="3" xfId="0" applyFont="1" applyFill="1" applyBorder="1" applyAlignment="1">
      <alignment horizontal="center" vertical="center"/>
    </xf>
    <xf numFmtId="0" fontId="26" fillId="3" borderId="5" xfId="0" applyFont="1" applyFill="1" applyBorder="1" applyAlignment="1">
      <alignment horizontal="center" vertical="center"/>
    </xf>
    <xf numFmtId="0" fontId="26" fillId="3" borderId="67" xfId="0" applyFont="1" applyFill="1" applyBorder="1" applyAlignment="1">
      <alignment horizontal="center" vertical="center"/>
    </xf>
    <xf numFmtId="1" fontId="26" fillId="0" borderId="7" xfId="0" applyNumberFormat="1" applyFont="1" applyBorder="1" applyAlignment="1">
      <alignment horizontal="center" vertical="center"/>
    </xf>
    <xf numFmtId="0" fontId="26" fillId="3" borderId="4" xfId="0" applyFont="1" applyFill="1" applyBorder="1" applyAlignment="1">
      <alignment horizontal="center" vertical="center"/>
    </xf>
    <xf numFmtId="1" fontId="24" fillId="3" borderId="10" xfId="0" applyNumberFormat="1" applyFont="1" applyFill="1" applyBorder="1" applyAlignment="1">
      <alignment horizontal="center" vertical="center"/>
    </xf>
    <xf numFmtId="1" fontId="24" fillId="3" borderId="8" xfId="0" applyNumberFormat="1" applyFont="1" applyFill="1" applyBorder="1" applyAlignment="1">
      <alignment horizontal="center" vertical="center"/>
    </xf>
    <xf numFmtId="0" fontId="26" fillId="3" borderId="2" xfId="0" applyFont="1" applyFill="1" applyBorder="1" applyAlignment="1">
      <alignment horizontal="center" vertical="center" wrapText="1"/>
    </xf>
    <xf numFmtId="0" fontId="27" fillId="22" borderId="21" xfId="0" applyFont="1" applyFill="1" applyBorder="1" applyAlignment="1">
      <alignment horizontal="center" vertical="center"/>
    </xf>
    <xf numFmtId="0" fontId="28" fillId="22" borderId="4" xfId="0" applyFont="1" applyFill="1" applyBorder="1" applyAlignment="1">
      <alignment horizontal="center" vertical="center"/>
    </xf>
    <xf numFmtId="0" fontId="28" fillId="3" borderId="4" xfId="0" applyFont="1" applyFill="1" applyBorder="1" applyAlignment="1">
      <alignment horizontal="center" vertical="center"/>
    </xf>
    <xf numFmtId="0" fontId="118" fillId="0" borderId="0" xfId="0" applyFont="1" applyAlignment="1">
      <alignment horizontal="center" vertical="center"/>
    </xf>
    <xf numFmtId="0" fontId="27" fillId="3" borderId="4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56" fillId="0" borderId="36" xfId="0" applyFont="1" applyBorder="1" applyAlignment="1">
      <alignment horizontal="center" vertical="center" wrapText="1"/>
    </xf>
    <xf numFmtId="0" fontId="83" fillId="7" borderId="4" xfId="0" applyFont="1" applyFill="1" applyBorder="1" applyAlignment="1">
      <alignment horizontal="center" vertical="center" wrapText="1"/>
    </xf>
    <xf numFmtId="0" fontId="82" fillId="4" borderId="0" xfId="0" applyFont="1" applyFill="1" applyBorder="1" applyAlignment="1">
      <alignment horizontal="center" vertical="center"/>
    </xf>
    <xf numFmtId="0" fontId="82" fillId="4" borderId="86" xfId="0" applyFont="1" applyFill="1" applyBorder="1" applyAlignment="1">
      <alignment horizontal="center" vertical="center"/>
    </xf>
    <xf numFmtId="9" fontId="33" fillId="0" borderId="8" xfId="0" applyNumberFormat="1" applyFont="1" applyBorder="1" applyAlignment="1">
      <alignment horizontal="center"/>
    </xf>
    <xf numFmtId="0" fontId="104" fillId="0" borderId="0" xfId="0" applyFont="1" applyAlignment="1">
      <alignment horizontal="left" vertical="center"/>
    </xf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 applyAlignment="1">
      <alignment horizontal="center"/>
    </xf>
    <xf numFmtId="0" fontId="33" fillId="0" borderId="0" xfId="0" applyFont="1" applyAlignment="1">
      <alignment horizontal="right" vertical="center" wrapText="1"/>
    </xf>
    <xf numFmtId="0" fontId="120" fillId="0" borderId="0" xfId="0" applyFont="1" applyAlignment="1">
      <alignment horizontal="center"/>
    </xf>
    <xf numFmtId="0" fontId="119" fillId="0" borderId="0" xfId="0" applyFont="1" applyAlignment="1">
      <alignment horizontal="center"/>
    </xf>
    <xf numFmtId="0" fontId="57" fillId="0" borderId="19" xfId="0" applyFont="1" applyFill="1" applyBorder="1" applyAlignment="1">
      <alignment horizontal="center"/>
    </xf>
    <xf numFmtId="0" fontId="57" fillId="0" borderId="50" xfId="0" applyFont="1" applyFill="1" applyBorder="1" applyAlignment="1">
      <alignment horizontal="center"/>
    </xf>
    <xf numFmtId="0" fontId="57" fillId="0" borderId="11" xfId="0" applyFont="1" applyFill="1" applyBorder="1" applyAlignment="1">
      <alignment horizontal="center"/>
    </xf>
    <xf numFmtId="0" fontId="33" fillId="3" borderId="206" xfId="0" applyFont="1" applyFill="1" applyBorder="1" applyAlignment="1">
      <alignment horizontal="center"/>
    </xf>
    <xf numFmtId="0" fontId="33" fillId="3" borderId="207" xfId="0" applyFont="1" applyFill="1" applyBorder="1" applyAlignment="1">
      <alignment horizontal="center"/>
    </xf>
    <xf numFmtId="9" fontId="58" fillId="0" borderId="19" xfId="0" applyNumberFormat="1" applyFont="1" applyBorder="1" applyAlignment="1">
      <alignment horizontal="center"/>
    </xf>
    <xf numFmtId="9" fontId="58" fillId="0" borderId="11" xfId="0" applyNumberFormat="1" applyFont="1" applyBorder="1" applyAlignment="1">
      <alignment horizontal="center"/>
    </xf>
    <xf numFmtId="9" fontId="71" fillId="4" borderId="4" xfId="0" applyNumberFormat="1" applyFont="1" applyFill="1" applyBorder="1" applyAlignment="1">
      <alignment horizontal="center" vertical="center"/>
    </xf>
    <xf numFmtId="0" fontId="28" fillId="3" borderId="83" xfId="0" applyFont="1" applyFill="1" applyBorder="1" applyAlignment="1">
      <alignment horizontal="center" vertical="center" wrapText="1"/>
    </xf>
    <xf numFmtId="0" fontId="28" fillId="3" borderId="84" xfId="0" applyFont="1" applyFill="1" applyBorder="1" applyAlignment="1">
      <alignment horizontal="center" vertical="center" wrapText="1"/>
    </xf>
    <xf numFmtId="0" fontId="28" fillId="3" borderId="18" xfId="0" applyFont="1" applyFill="1" applyBorder="1" applyAlignment="1">
      <alignment horizontal="center" vertical="center" wrapText="1"/>
    </xf>
    <xf numFmtId="0" fontId="39" fillId="3" borderId="33" xfId="0" applyFont="1" applyFill="1" applyBorder="1" applyAlignment="1">
      <alignment horizontal="center"/>
    </xf>
    <xf numFmtId="0" fontId="39" fillId="3" borderId="5" xfId="0" applyFont="1" applyFill="1" applyBorder="1" applyAlignment="1">
      <alignment horizontal="center"/>
    </xf>
    <xf numFmtId="0" fontId="25" fillId="3" borderId="70" xfId="0" applyFont="1" applyFill="1" applyBorder="1" applyAlignment="1">
      <alignment horizontal="center"/>
    </xf>
    <xf numFmtId="0" fontId="25" fillId="3" borderId="79" xfId="0" applyFont="1" applyFill="1" applyBorder="1" applyAlignment="1">
      <alignment horizontal="center"/>
    </xf>
    <xf numFmtId="0" fontId="25" fillId="3" borderId="33" xfId="0" applyFont="1" applyFill="1" applyBorder="1" applyAlignment="1">
      <alignment horizontal="center"/>
    </xf>
    <xf numFmtId="0" fontId="25" fillId="3" borderId="67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63" xfId="0" applyBorder="1" applyAlignment="1">
      <alignment horizontal="center"/>
    </xf>
    <xf numFmtId="0" fontId="25" fillId="3" borderId="8" xfId="0" applyFont="1" applyFill="1" applyBorder="1" applyAlignment="1">
      <alignment horizontal="center"/>
    </xf>
    <xf numFmtId="0" fontId="25" fillId="3" borderId="65" xfId="0" applyFont="1" applyFill="1" applyBorder="1" applyAlignment="1">
      <alignment horizontal="center"/>
    </xf>
    <xf numFmtId="0" fontId="90" fillId="3" borderId="8" xfId="0" applyFont="1" applyFill="1" applyBorder="1" applyAlignment="1">
      <alignment horizontal="center" vertical="center" wrapText="1"/>
    </xf>
    <xf numFmtId="0" fontId="59" fillId="4" borderId="5" xfId="0" applyFont="1" applyFill="1" applyBorder="1" applyAlignment="1">
      <alignment horizontal="center" vertical="center"/>
    </xf>
    <xf numFmtId="0" fontId="59" fillId="4" borderId="21" xfId="0" applyFont="1" applyFill="1" applyBorder="1" applyAlignment="1">
      <alignment horizontal="center" vertical="center"/>
    </xf>
    <xf numFmtId="0" fontId="39" fillId="7" borderId="4" xfId="0" applyFont="1" applyFill="1" applyBorder="1" applyAlignment="1">
      <alignment horizontal="center" vertical="center"/>
    </xf>
    <xf numFmtId="0" fontId="40" fillId="0" borderId="19" xfId="0" applyFont="1" applyBorder="1" applyAlignment="1">
      <alignment horizontal="center" vertical="center"/>
    </xf>
    <xf numFmtId="0" fontId="40" fillId="0" borderId="50" xfId="0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/>
    </xf>
    <xf numFmtId="0" fontId="58" fillId="0" borderId="43" xfId="0" applyFont="1" applyFill="1" applyBorder="1" applyAlignment="1">
      <alignment horizontal="center" vertical="center" wrapText="1"/>
    </xf>
    <xf numFmtId="0" fontId="35" fillId="4" borderId="34" xfId="0" applyFont="1" applyFill="1" applyBorder="1" applyAlignment="1">
      <alignment horizontal="center" vertical="center" wrapText="1"/>
    </xf>
    <xf numFmtId="0" fontId="35" fillId="4" borderId="28" xfId="0" applyFont="1" applyFill="1" applyBorder="1" applyAlignment="1">
      <alignment horizontal="center" vertical="center" wrapText="1"/>
    </xf>
    <xf numFmtId="0" fontId="35" fillId="4" borderId="22" xfId="0" applyFont="1" applyFill="1" applyBorder="1" applyAlignment="1">
      <alignment horizontal="center" vertical="center" wrapText="1"/>
    </xf>
    <xf numFmtId="0" fontId="35" fillId="4" borderId="43" xfId="0" applyFont="1" applyFill="1" applyBorder="1" applyAlignment="1">
      <alignment horizontal="center" vertical="center" wrapText="1"/>
    </xf>
    <xf numFmtId="0" fontId="35" fillId="4" borderId="0" xfId="0" applyFont="1" applyFill="1" applyBorder="1" applyAlignment="1">
      <alignment horizontal="center" vertical="center" wrapText="1"/>
    </xf>
    <xf numFmtId="0" fontId="35" fillId="4" borderId="48" xfId="0" applyFont="1" applyFill="1" applyBorder="1" applyAlignment="1">
      <alignment horizontal="center" vertical="center" wrapText="1"/>
    </xf>
    <xf numFmtId="0" fontId="35" fillId="4" borderId="44" xfId="0" applyFont="1" applyFill="1" applyBorder="1" applyAlignment="1">
      <alignment horizontal="center" vertical="center" wrapText="1"/>
    </xf>
    <xf numFmtId="0" fontId="35" fillId="4" borderId="49" xfId="0" applyFont="1" applyFill="1" applyBorder="1" applyAlignment="1">
      <alignment horizontal="center" vertical="center" wrapText="1"/>
    </xf>
    <xf numFmtId="0" fontId="35" fillId="4" borderId="31" xfId="0" applyFont="1" applyFill="1" applyBorder="1" applyAlignment="1">
      <alignment horizontal="center" vertical="center" wrapText="1"/>
    </xf>
    <xf numFmtId="0" fontId="58" fillId="0" borderId="23" xfId="0" applyFont="1" applyFill="1" applyBorder="1" applyAlignment="1">
      <alignment horizontal="center" vertical="center" wrapText="1"/>
    </xf>
    <xf numFmtId="0" fontId="58" fillId="0" borderId="32" xfId="0" applyFont="1" applyFill="1" applyBorder="1" applyAlignment="1">
      <alignment horizontal="center" vertical="center" wrapText="1"/>
    </xf>
    <xf numFmtId="0" fontId="58" fillId="0" borderId="34" xfId="0" applyFont="1" applyFill="1" applyBorder="1" applyAlignment="1">
      <alignment horizontal="center" vertical="center" wrapText="1"/>
    </xf>
    <xf numFmtId="0" fontId="99" fillId="4" borderId="5" xfId="0" applyFont="1" applyFill="1" applyBorder="1" applyAlignment="1">
      <alignment horizontal="center" vertical="center"/>
    </xf>
    <xf numFmtId="0" fontId="99" fillId="4" borderId="21" xfId="0" applyFont="1" applyFill="1" applyBorder="1" applyAlignment="1">
      <alignment horizontal="center" vertical="center"/>
    </xf>
    <xf numFmtId="0" fontId="83" fillId="7" borderId="2" xfId="0" applyFont="1" applyFill="1" applyBorder="1" applyAlignment="1">
      <alignment horizontal="center" vertical="center" wrapText="1"/>
    </xf>
    <xf numFmtId="0" fontId="83" fillId="7" borderId="6" xfId="0" applyFont="1" applyFill="1" applyBorder="1" applyAlignment="1">
      <alignment horizontal="center" vertical="center" wrapText="1"/>
    </xf>
    <xf numFmtId="0" fontId="83" fillId="7" borderId="5" xfId="0" applyFont="1" applyFill="1" applyBorder="1" applyAlignment="1">
      <alignment horizontal="center" vertical="center" wrapText="1"/>
    </xf>
    <xf numFmtId="0" fontId="83" fillId="7" borderId="21" xfId="0" applyFont="1" applyFill="1" applyBorder="1" applyAlignment="1">
      <alignment horizontal="center" vertical="center" wrapText="1"/>
    </xf>
    <xf numFmtId="0" fontId="106" fillId="7" borderId="4" xfId="0" applyFont="1" applyFill="1" applyBorder="1" applyAlignment="1">
      <alignment horizontal="center" wrapText="1"/>
    </xf>
    <xf numFmtId="0" fontId="106" fillId="7" borderId="5" xfId="0" applyFont="1" applyFill="1" applyBorder="1" applyAlignment="1">
      <alignment horizontal="center" vertical="center" wrapText="1"/>
    </xf>
    <xf numFmtId="0" fontId="106" fillId="7" borderId="21" xfId="0" applyFont="1" applyFill="1" applyBorder="1" applyAlignment="1">
      <alignment horizontal="center" vertical="center" wrapText="1"/>
    </xf>
    <xf numFmtId="0" fontId="154" fillId="24" borderId="0" xfId="0" applyFont="1" applyFill="1" applyBorder="1" applyAlignment="1">
      <alignment horizontal="center" wrapText="1"/>
    </xf>
    <xf numFmtId="0" fontId="127" fillId="32" borderId="119" xfId="0" applyFont="1" applyFill="1" applyBorder="1" applyAlignment="1">
      <alignment horizontal="center" vertical="center" wrapText="1"/>
    </xf>
    <xf numFmtId="0" fontId="127" fillId="32" borderId="164" xfId="0" applyFont="1" applyFill="1" applyBorder="1" applyAlignment="1">
      <alignment horizontal="center" vertical="center" wrapText="1"/>
    </xf>
    <xf numFmtId="0" fontId="146" fillId="29" borderId="19" xfId="0" applyFont="1" applyFill="1" applyBorder="1" applyAlignment="1">
      <alignment horizontal="center" vertical="center" wrapText="1"/>
    </xf>
    <xf numFmtId="0" fontId="146" fillId="29" borderId="11" xfId="0" applyFont="1" applyFill="1" applyBorder="1" applyAlignment="1">
      <alignment horizontal="center" vertical="center" wrapText="1"/>
    </xf>
    <xf numFmtId="0" fontId="159" fillId="29" borderId="19" xfId="0" applyFont="1" applyFill="1" applyBorder="1" applyAlignment="1">
      <alignment horizontal="center" vertical="center" wrapText="1"/>
    </xf>
    <xf numFmtId="0" fontId="159" fillId="29" borderId="11" xfId="0" applyFont="1" applyFill="1" applyBorder="1" applyAlignment="1">
      <alignment horizontal="center" vertical="center" wrapText="1"/>
    </xf>
    <xf numFmtId="0" fontId="47" fillId="4" borderId="19" xfId="0" applyFont="1" applyFill="1" applyBorder="1" applyAlignment="1">
      <alignment horizontal="center" vertical="center" wrapText="1"/>
    </xf>
    <xf numFmtId="0" fontId="47" fillId="4" borderId="11" xfId="0" applyFont="1" applyFill="1" applyBorder="1" applyAlignment="1">
      <alignment horizontal="center" vertical="center" wrapText="1"/>
    </xf>
    <xf numFmtId="1" fontId="158" fillId="4" borderId="19" xfId="0" applyNumberFormat="1" applyFont="1" applyFill="1" applyBorder="1" applyAlignment="1">
      <alignment horizontal="center" vertical="center" wrapText="1"/>
    </xf>
    <xf numFmtId="0" fontId="158" fillId="4" borderId="11" xfId="0" applyFont="1" applyFill="1" applyBorder="1" applyAlignment="1">
      <alignment horizontal="center" vertical="center" wrapText="1"/>
    </xf>
    <xf numFmtId="0" fontId="145" fillId="29" borderId="19" xfId="0" applyFont="1" applyFill="1" applyBorder="1" applyAlignment="1">
      <alignment horizontal="center" vertical="center" wrapText="1"/>
    </xf>
    <xf numFmtId="0" fontId="145" fillId="29" borderId="11" xfId="0" applyFont="1" applyFill="1" applyBorder="1" applyAlignment="1">
      <alignment horizontal="center" vertical="center" wrapText="1"/>
    </xf>
    <xf numFmtId="0" fontId="147" fillId="29" borderId="19" xfId="0" applyFont="1" applyFill="1" applyBorder="1" applyAlignment="1">
      <alignment horizontal="center" vertical="center" wrapText="1"/>
    </xf>
    <xf numFmtId="0" fontId="147" fillId="29" borderId="11" xfId="0" applyFont="1" applyFill="1" applyBorder="1" applyAlignment="1">
      <alignment horizontal="center" vertical="center" wrapText="1"/>
    </xf>
    <xf numFmtId="0" fontId="49" fillId="4" borderId="19" xfId="0" applyFont="1" applyFill="1" applyBorder="1" applyAlignment="1">
      <alignment horizontal="center" vertical="center" wrapText="1"/>
    </xf>
    <xf numFmtId="0" fontId="49" fillId="4" borderId="11" xfId="0" applyFont="1" applyFill="1" applyBorder="1" applyAlignment="1">
      <alignment horizontal="center" vertical="center" wrapText="1"/>
    </xf>
    <xf numFmtId="0" fontId="127" fillId="31" borderId="69" xfId="0" applyFont="1" applyFill="1" applyBorder="1" applyAlignment="1">
      <alignment horizontal="center" vertical="center" wrapText="1"/>
    </xf>
    <xf numFmtId="0" fontId="127" fillId="31" borderId="118" xfId="0" applyFont="1" applyFill="1" applyBorder="1" applyAlignment="1">
      <alignment horizontal="center" vertical="center" wrapText="1"/>
    </xf>
    <xf numFmtId="0" fontId="127" fillId="5" borderId="166" xfId="0" applyFont="1" applyFill="1" applyBorder="1" applyAlignment="1">
      <alignment horizontal="center" vertical="center" wrapText="1"/>
    </xf>
    <xf numFmtId="0" fontId="127" fillId="5" borderId="167" xfId="0" applyFont="1" applyFill="1" applyBorder="1" applyAlignment="1">
      <alignment horizontal="center" vertical="center" wrapText="1"/>
    </xf>
    <xf numFmtId="0" fontId="127" fillId="33" borderId="119" xfId="0" applyFont="1" applyFill="1" applyBorder="1" applyAlignment="1">
      <alignment horizontal="center" vertical="center" wrapText="1"/>
    </xf>
    <xf numFmtId="0" fontId="127" fillId="33" borderId="164" xfId="0" applyFont="1" applyFill="1" applyBorder="1" applyAlignment="1">
      <alignment horizontal="center" vertical="center" wrapText="1"/>
    </xf>
    <xf numFmtId="0" fontId="127" fillId="34" borderId="36" xfId="0" applyFont="1" applyFill="1" applyBorder="1" applyAlignment="1">
      <alignment horizontal="center" vertical="center" wrapText="1"/>
    </xf>
    <xf numFmtId="0" fontId="127" fillId="34" borderId="118" xfId="0" applyFont="1" applyFill="1" applyBorder="1" applyAlignment="1">
      <alignment horizontal="center" vertical="center" wrapText="1"/>
    </xf>
    <xf numFmtId="0" fontId="46" fillId="4" borderId="19" xfId="0" applyFont="1" applyFill="1" applyBorder="1" applyAlignment="1">
      <alignment horizontal="center" vertical="center" wrapText="1"/>
    </xf>
    <xf numFmtId="0" fontId="46" fillId="4" borderId="11" xfId="0" applyFont="1" applyFill="1" applyBorder="1" applyAlignment="1">
      <alignment horizontal="center" vertical="center" wrapText="1"/>
    </xf>
    <xf numFmtId="2" fontId="142" fillId="38" borderId="115" xfId="0" applyNumberFormat="1" applyFont="1" applyFill="1" applyBorder="1" applyAlignment="1">
      <alignment horizontal="center" vertical="center" wrapText="1"/>
    </xf>
    <xf numFmtId="2" fontId="142" fillId="38" borderId="116" xfId="0" applyNumberFormat="1" applyFont="1" applyFill="1" applyBorder="1" applyAlignment="1">
      <alignment horizontal="center" vertical="center" wrapText="1"/>
    </xf>
    <xf numFmtId="2" fontId="142" fillId="38" borderId="117" xfId="0" applyNumberFormat="1" applyFont="1" applyFill="1" applyBorder="1" applyAlignment="1">
      <alignment horizontal="center" vertical="center" wrapText="1"/>
    </xf>
    <xf numFmtId="0" fontId="126" fillId="3" borderId="202" xfId="0" applyFont="1" applyFill="1" applyBorder="1" applyAlignment="1">
      <alignment horizontal="center" vertical="center" wrapText="1"/>
    </xf>
    <xf numFmtId="0" fontId="126" fillId="3" borderId="203" xfId="0" applyFont="1" applyFill="1" applyBorder="1" applyAlignment="1">
      <alignment horizontal="center" vertical="center" wrapText="1"/>
    </xf>
    <xf numFmtId="0" fontId="126" fillId="3" borderId="204" xfId="0" applyFont="1" applyFill="1" applyBorder="1" applyAlignment="1">
      <alignment horizontal="center" vertical="center" wrapText="1"/>
    </xf>
    <xf numFmtId="2" fontId="142" fillId="39" borderId="223" xfId="0" applyNumberFormat="1" applyFont="1" applyFill="1" applyBorder="1" applyAlignment="1">
      <alignment horizontal="center" vertical="center" wrapText="1"/>
    </xf>
    <xf numFmtId="2" fontId="142" fillId="39" borderId="224" xfId="0" applyNumberFormat="1" applyFont="1" applyFill="1" applyBorder="1" applyAlignment="1">
      <alignment horizontal="center" vertical="center" wrapText="1"/>
    </xf>
    <xf numFmtId="2" fontId="142" fillId="39" borderId="225" xfId="0" applyNumberFormat="1" applyFont="1" applyFill="1" applyBorder="1" applyAlignment="1">
      <alignment horizontal="center" vertical="center" wrapText="1"/>
    </xf>
    <xf numFmtId="0" fontId="126" fillId="3" borderId="199" xfId="0" applyFont="1" applyFill="1" applyBorder="1" applyAlignment="1">
      <alignment horizontal="center" vertical="center" wrapText="1"/>
    </xf>
    <xf numFmtId="0" fontId="126" fillId="3" borderId="200" xfId="0" applyFont="1" applyFill="1" applyBorder="1" applyAlignment="1">
      <alignment horizontal="center" vertical="center" wrapText="1"/>
    </xf>
    <xf numFmtId="0" fontId="126" fillId="3" borderId="201" xfId="0" applyFont="1" applyFill="1" applyBorder="1" applyAlignment="1">
      <alignment horizontal="center" vertical="center" wrapText="1"/>
    </xf>
    <xf numFmtId="1" fontId="49" fillId="4" borderId="19" xfId="0" applyNumberFormat="1" applyFont="1" applyFill="1" applyBorder="1" applyAlignment="1">
      <alignment horizontal="center" vertical="center" wrapText="1"/>
    </xf>
    <xf numFmtId="0" fontId="49" fillId="4" borderId="50" xfId="0" applyFont="1" applyFill="1" applyBorder="1" applyAlignment="1">
      <alignment horizontal="center" vertical="center" wrapText="1"/>
    </xf>
    <xf numFmtId="0" fontId="159" fillId="3" borderId="209" xfId="0" applyFont="1" applyFill="1" applyBorder="1" applyAlignment="1">
      <alignment horizontal="center" vertical="center" wrapText="1"/>
    </xf>
    <xf numFmtId="0" fontId="159" fillId="22" borderId="209" xfId="0" applyFont="1" applyFill="1" applyBorder="1" applyAlignment="1">
      <alignment horizontal="center" vertical="center" wrapText="1"/>
    </xf>
    <xf numFmtId="0" fontId="159" fillId="22" borderId="221" xfId="0" applyFont="1" applyFill="1" applyBorder="1" applyAlignment="1">
      <alignment horizontal="center" vertical="center" wrapText="1"/>
    </xf>
    <xf numFmtId="0" fontId="147" fillId="3" borderId="210" xfId="0" applyFont="1" applyFill="1" applyBorder="1" applyAlignment="1">
      <alignment horizontal="center" vertical="center" wrapText="1"/>
    </xf>
    <xf numFmtId="0" fontId="147" fillId="22" borderId="210" xfId="0" applyFont="1" applyFill="1" applyBorder="1" applyAlignment="1">
      <alignment horizontal="center" vertical="center" wrapText="1"/>
    </xf>
    <xf numFmtId="0" fontId="147" fillId="22" borderId="222" xfId="0" applyFont="1" applyFill="1" applyBorder="1" applyAlignment="1">
      <alignment horizontal="center" vertical="center" wrapText="1"/>
    </xf>
    <xf numFmtId="1" fontId="47" fillId="4" borderId="19" xfId="0" applyNumberFormat="1" applyFont="1" applyFill="1" applyBorder="1" applyAlignment="1">
      <alignment horizontal="center" vertical="center" wrapText="1"/>
    </xf>
    <xf numFmtId="0" fontId="47" fillId="4" borderId="50" xfId="0" applyFont="1" applyFill="1" applyBorder="1" applyAlignment="1">
      <alignment horizontal="center" vertical="center" wrapText="1"/>
    </xf>
    <xf numFmtId="0" fontId="145" fillId="3" borderId="208" xfId="0" applyFont="1" applyFill="1" applyBorder="1" applyAlignment="1">
      <alignment horizontal="center" vertical="center" wrapText="1"/>
    </xf>
    <xf numFmtId="0" fontId="146" fillId="22" borderId="208" xfId="0" applyFont="1" applyFill="1" applyBorder="1" applyAlignment="1">
      <alignment horizontal="center" vertical="center" wrapText="1"/>
    </xf>
    <xf numFmtId="0" fontId="146" fillId="22" borderId="211" xfId="0" applyFont="1" applyFill="1" applyBorder="1" applyAlignment="1">
      <alignment horizontal="center" vertical="center" wrapText="1"/>
    </xf>
    <xf numFmtId="0" fontId="0" fillId="0" borderId="49" xfId="0" applyBorder="1" applyAlignment="1">
      <alignment horizontal="center"/>
    </xf>
    <xf numFmtId="0" fontId="0" fillId="0" borderId="31" xfId="0" applyBorder="1" applyAlignment="1">
      <alignment horizontal="center"/>
    </xf>
    <xf numFmtId="0" fontId="46" fillId="4" borderId="50" xfId="0" applyFont="1" applyFill="1" applyBorder="1" applyAlignment="1">
      <alignment horizontal="center" vertical="center" wrapText="1"/>
    </xf>
    <xf numFmtId="0" fontId="35" fillId="23" borderId="0" xfId="0" applyFont="1" applyFill="1" applyBorder="1" applyAlignment="1">
      <alignment horizontal="center"/>
    </xf>
    <xf numFmtId="0" fontId="127" fillId="41" borderId="226" xfId="0" applyFont="1" applyFill="1" applyBorder="1" applyAlignment="1">
      <alignment horizontal="center" vertical="center" wrapText="1"/>
    </xf>
    <xf numFmtId="0" fontId="127" fillId="41" borderId="227" xfId="0" applyFont="1" applyFill="1" applyBorder="1" applyAlignment="1">
      <alignment horizontal="center" vertical="center" wrapText="1"/>
    </xf>
    <xf numFmtId="0" fontId="127" fillId="41" borderId="228" xfId="0" applyFont="1" applyFill="1" applyBorder="1" applyAlignment="1">
      <alignment horizontal="center" vertical="center" wrapText="1"/>
    </xf>
    <xf numFmtId="0" fontId="127" fillId="42" borderId="229" xfId="0" applyFont="1" applyFill="1" applyBorder="1" applyAlignment="1">
      <alignment horizontal="center" vertical="center" wrapText="1"/>
    </xf>
    <xf numFmtId="0" fontId="127" fillId="42" borderId="227" xfId="0" applyFont="1" applyFill="1" applyBorder="1" applyAlignment="1">
      <alignment horizontal="center" vertical="center" wrapText="1"/>
    </xf>
    <xf numFmtId="0" fontId="127" fillId="42" borderId="228" xfId="0" applyFont="1" applyFill="1" applyBorder="1" applyAlignment="1">
      <alignment horizontal="center" vertical="center" wrapText="1"/>
    </xf>
    <xf numFmtId="0" fontId="127" fillId="42" borderId="226" xfId="0" applyFont="1" applyFill="1" applyBorder="1" applyAlignment="1">
      <alignment horizontal="center" vertical="center" wrapText="1"/>
    </xf>
    <xf numFmtId="0" fontId="127" fillId="41" borderId="254" xfId="0" applyFont="1" applyFill="1" applyBorder="1" applyAlignment="1">
      <alignment horizontal="center" vertical="center" wrapText="1"/>
    </xf>
    <xf numFmtId="0" fontId="127" fillId="41" borderId="252" xfId="0" applyFont="1" applyFill="1" applyBorder="1" applyAlignment="1">
      <alignment horizontal="center" vertical="center" wrapText="1"/>
    </xf>
    <xf numFmtId="0" fontId="127" fillId="41" borderId="255" xfId="0" applyFont="1" applyFill="1" applyBorder="1" applyAlignment="1">
      <alignment horizontal="center" vertical="center" wrapText="1"/>
    </xf>
    <xf numFmtId="0" fontId="97" fillId="7" borderId="19" xfId="0" applyFont="1" applyFill="1" applyBorder="1" applyAlignment="1">
      <alignment horizontal="center" vertical="center" wrapText="1"/>
    </xf>
    <xf numFmtId="0" fontId="97" fillId="7" borderId="11" xfId="0" applyFont="1" applyFill="1" applyBorder="1" applyAlignment="1">
      <alignment horizontal="center" vertical="center" wrapText="1"/>
    </xf>
    <xf numFmtId="0" fontId="47" fillId="3" borderId="19" xfId="0" applyFont="1" applyFill="1" applyBorder="1" applyAlignment="1">
      <alignment horizontal="center" vertical="center" wrapText="1"/>
    </xf>
    <xf numFmtId="0" fontId="47" fillId="3" borderId="11" xfId="0" applyFont="1" applyFill="1" applyBorder="1" applyAlignment="1">
      <alignment horizontal="center" vertical="center" wrapText="1"/>
    </xf>
    <xf numFmtId="0" fontId="123" fillId="3" borderId="19" xfId="0" applyFont="1" applyFill="1" applyBorder="1" applyAlignment="1">
      <alignment horizontal="center" vertical="center" wrapText="1"/>
    </xf>
    <xf numFmtId="0" fontId="123" fillId="3" borderId="11" xfId="0" applyFont="1" applyFill="1" applyBorder="1" applyAlignment="1">
      <alignment horizontal="center" vertical="center" wrapText="1"/>
    </xf>
    <xf numFmtId="0" fontId="47" fillId="22" borderId="19" xfId="0" applyFont="1" applyFill="1" applyBorder="1" applyAlignment="1">
      <alignment horizontal="center" vertical="center" wrapText="1"/>
    </xf>
    <xf numFmtId="0" fontId="47" fillId="22" borderId="11" xfId="0" applyFont="1" applyFill="1" applyBorder="1" applyAlignment="1">
      <alignment horizontal="center" vertical="center" wrapText="1"/>
    </xf>
    <xf numFmtId="2" fontId="127" fillId="3" borderId="115" xfId="0" applyNumberFormat="1" applyFont="1" applyFill="1" applyBorder="1" applyAlignment="1">
      <alignment horizontal="center" vertical="center"/>
    </xf>
    <xf numFmtId="2" fontId="127" fillId="3" borderId="116" xfId="0" applyNumberFormat="1" applyFont="1" applyFill="1" applyBorder="1" applyAlignment="1">
      <alignment horizontal="center" vertical="center"/>
    </xf>
    <xf numFmtId="2" fontId="127" fillId="3" borderId="117" xfId="0" applyNumberFormat="1" applyFont="1" applyFill="1" applyBorder="1" applyAlignment="1">
      <alignment horizontal="center" vertical="center"/>
    </xf>
    <xf numFmtId="0" fontId="127" fillId="3" borderId="28" xfId="0" applyFont="1" applyFill="1" applyBorder="1" applyAlignment="1">
      <alignment horizontal="center" vertical="center" wrapText="1"/>
    </xf>
    <xf numFmtId="0" fontId="127" fillId="3" borderId="29" xfId="0" applyFont="1" applyFill="1" applyBorder="1" applyAlignment="1">
      <alignment horizontal="center" vertical="center" wrapText="1"/>
    </xf>
    <xf numFmtId="0" fontId="112" fillId="0" borderId="0" xfId="0" applyFont="1" applyFill="1" applyBorder="1" applyAlignment="1">
      <alignment horizontal="center"/>
    </xf>
    <xf numFmtId="0" fontId="112" fillId="0" borderId="112" xfId="0" applyFont="1" applyFill="1" applyBorder="1" applyAlignment="1">
      <alignment horizontal="center"/>
    </xf>
    <xf numFmtId="0" fontId="112" fillId="0" borderId="114" xfId="0" applyFont="1" applyFill="1" applyBorder="1" applyAlignment="1">
      <alignment horizontal="center"/>
    </xf>
    <xf numFmtId="0" fontId="0" fillId="0" borderId="112" xfId="0" applyFill="1" applyBorder="1" applyAlignment="1">
      <alignment horizontal="center"/>
    </xf>
    <xf numFmtId="0" fontId="0" fillId="0" borderId="114" xfId="0" applyFill="1" applyBorder="1" applyAlignment="1">
      <alignment horizontal="center"/>
    </xf>
    <xf numFmtId="0" fontId="127" fillId="15" borderId="69" xfId="0" applyFont="1" applyFill="1" applyBorder="1" applyAlignment="1">
      <alignment horizontal="center" vertical="center" wrapText="1"/>
    </xf>
    <xf numFmtId="0" fontId="127" fillId="15" borderId="36" xfId="0" applyFont="1" applyFill="1" applyBorder="1" applyAlignment="1">
      <alignment horizontal="center" vertical="center" wrapText="1"/>
    </xf>
    <xf numFmtId="0" fontId="127" fillId="15" borderId="118" xfId="0" applyFont="1" applyFill="1" applyBorder="1" applyAlignment="1">
      <alignment horizontal="center" vertical="center" wrapText="1"/>
    </xf>
    <xf numFmtId="0" fontId="127" fillId="20" borderId="119" xfId="0" applyFont="1" applyFill="1" applyBorder="1" applyAlignment="1">
      <alignment horizontal="center" vertical="center" wrapText="1"/>
    </xf>
    <xf numFmtId="0" fontId="127" fillId="20" borderId="120" xfId="0" applyFont="1" applyFill="1" applyBorder="1" applyAlignment="1">
      <alignment horizontal="center" vertical="center" wrapText="1"/>
    </xf>
    <xf numFmtId="0" fontId="127" fillId="20" borderId="121" xfId="0" applyFont="1" applyFill="1" applyBorder="1" applyAlignment="1">
      <alignment horizontal="center" vertical="center" wrapText="1"/>
    </xf>
    <xf numFmtId="0" fontId="126" fillId="2" borderId="30" xfId="0" applyFont="1" applyFill="1" applyBorder="1" applyAlignment="1">
      <alignment horizontal="center" vertical="center" wrapText="1"/>
    </xf>
    <xf numFmtId="0" fontId="126" fillId="2" borderId="25" xfId="0" applyFont="1" applyFill="1" applyBorder="1" applyAlignment="1">
      <alignment horizontal="center" vertical="center" wrapText="1"/>
    </xf>
    <xf numFmtId="0" fontId="126" fillId="2" borderId="26" xfId="0" applyFont="1" applyFill="1" applyBorder="1" applyAlignment="1">
      <alignment horizontal="center" vertical="center" wrapText="1"/>
    </xf>
    <xf numFmtId="0" fontId="127" fillId="18" borderId="36" xfId="0" applyFont="1" applyFill="1" applyBorder="1" applyAlignment="1">
      <alignment horizontal="center" vertical="center" wrapText="1"/>
    </xf>
    <xf numFmtId="0" fontId="127" fillId="18" borderId="118" xfId="0" applyFont="1" applyFill="1" applyBorder="1" applyAlignment="1">
      <alignment horizontal="center" vertical="center" wrapText="1"/>
    </xf>
    <xf numFmtId="0" fontId="127" fillId="5" borderId="122" xfId="0" applyFont="1" applyFill="1" applyBorder="1" applyAlignment="1">
      <alignment horizontal="center" vertical="center" wrapText="1"/>
    </xf>
    <xf numFmtId="0" fontId="127" fillId="5" borderId="36" xfId="0" applyFont="1" applyFill="1" applyBorder="1" applyAlignment="1">
      <alignment horizontal="center" vertical="center" wrapText="1"/>
    </xf>
    <xf numFmtId="0" fontId="127" fillId="5" borderId="123" xfId="0" applyFont="1" applyFill="1" applyBorder="1" applyAlignment="1">
      <alignment horizontal="center" vertical="center" wrapText="1"/>
    </xf>
    <xf numFmtId="0" fontId="29" fillId="18" borderId="36" xfId="0" applyFont="1" applyFill="1" applyBorder="1" applyAlignment="1">
      <alignment horizontal="center" vertical="center" wrapText="1"/>
    </xf>
    <xf numFmtId="0" fontId="29" fillId="5" borderId="36" xfId="0" applyFont="1" applyFill="1" applyBorder="1" applyAlignment="1">
      <alignment horizontal="center" vertical="center" wrapText="1"/>
    </xf>
    <xf numFmtId="0" fontId="29" fillId="15" borderId="36" xfId="0" applyFont="1" applyFill="1" applyBorder="1" applyAlignment="1">
      <alignment horizontal="center" vertical="center" wrapText="1"/>
    </xf>
    <xf numFmtId="0" fontId="29" fillId="10" borderId="36" xfId="0" applyFont="1" applyFill="1" applyBorder="1" applyAlignment="1">
      <alignment horizontal="center" vertical="center" wrapText="1"/>
    </xf>
    <xf numFmtId="0" fontId="25" fillId="0" borderId="124" xfId="0" applyFont="1" applyBorder="1" applyAlignment="1">
      <alignment horizontal="center" vertical="center" wrapText="1"/>
    </xf>
    <xf numFmtId="0" fontId="25" fillId="0" borderId="125" xfId="0" applyFont="1" applyBorder="1" applyAlignment="1">
      <alignment horizontal="center" vertical="center" wrapText="1"/>
    </xf>
    <xf numFmtId="0" fontId="25" fillId="0" borderId="126" xfId="0" applyFont="1" applyBorder="1" applyAlignment="1">
      <alignment horizontal="center" vertical="center" wrapText="1"/>
    </xf>
    <xf numFmtId="0" fontId="46" fillId="2" borderId="36" xfId="0" applyFont="1" applyFill="1" applyBorder="1" applyAlignment="1">
      <alignment horizontal="center" vertical="center" wrapText="1"/>
    </xf>
    <xf numFmtId="0" fontId="46" fillId="10" borderId="15" xfId="0" applyFont="1" applyFill="1" applyBorder="1" applyAlignment="1">
      <alignment horizontal="center" vertical="center" wrapText="1"/>
    </xf>
    <xf numFmtId="0" fontId="43" fillId="0" borderId="0" xfId="0" applyFont="1" applyBorder="1" applyAlignment="1">
      <alignment horizontal="center" wrapText="1"/>
    </xf>
    <xf numFmtId="0" fontId="44" fillId="0" borderId="0" xfId="0" applyFont="1" applyBorder="1" applyAlignment="1">
      <alignment wrapText="1"/>
    </xf>
    <xf numFmtId="0" fontId="46" fillId="9" borderId="83" xfId="0" applyFont="1" applyFill="1" applyBorder="1" applyAlignment="1">
      <alignment horizontal="center" vertical="center" wrapText="1"/>
    </xf>
    <xf numFmtId="0" fontId="46" fillId="9" borderId="84" xfId="0" applyFont="1" applyFill="1" applyBorder="1" applyAlignment="1">
      <alignment horizontal="center" vertical="center" wrapText="1"/>
    </xf>
    <xf numFmtId="0" fontId="46" fillId="5" borderId="83" xfId="0" applyFont="1" applyFill="1" applyBorder="1" applyAlignment="1">
      <alignment horizontal="center" vertical="center" wrapText="1"/>
    </xf>
    <xf numFmtId="0" fontId="46" fillId="5" borderId="84" xfId="0" applyFont="1" applyFill="1" applyBorder="1" applyAlignment="1">
      <alignment horizontal="center" vertical="center" wrapText="1"/>
    </xf>
    <xf numFmtId="0" fontId="46" fillId="13" borderId="15" xfId="0" applyFont="1" applyFill="1" applyBorder="1" applyAlignment="1">
      <alignment horizontal="center" vertical="center" wrapText="1"/>
    </xf>
    <xf numFmtId="0" fontId="46" fillId="15" borderId="15" xfId="0" applyFont="1" applyFill="1" applyBorder="1" applyAlignment="1">
      <alignment horizontal="center" vertical="center" wrapText="1"/>
    </xf>
    <xf numFmtId="0" fontId="55" fillId="10" borderId="27" xfId="0" applyFont="1" applyFill="1" applyBorder="1" applyAlignment="1">
      <alignment horizontal="center" textRotation="90" wrapText="1"/>
    </xf>
    <xf numFmtId="0" fontId="55" fillId="10" borderId="16" xfId="0" applyFont="1" applyFill="1" applyBorder="1" applyAlignment="1">
      <alignment horizontal="center" textRotation="90" wrapText="1"/>
    </xf>
    <xf numFmtId="0" fontId="33" fillId="0" borderId="127" xfId="0" applyFont="1" applyBorder="1" applyAlignment="1">
      <alignment horizontal="center" vertical="center" wrapText="1"/>
    </xf>
    <xf numFmtId="0" fontId="33" fillId="0" borderId="128" xfId="0" applyFont="1" applyBorder="1" applyAlignment="1">
      <alignment horizontal="center" vertical="center" wrapText="1"/>
    </xf>
    <xf numFmtId="0" fontId="33" fillId="0" borderId="129" xfId="0" applyFont="1" applyBorder="1" applyAlignment="1">
      <alignment horizontal="center" vertical="center" wrapText="1"/>
    </xf>
    <xf numFmtId="0" fontId="33" fillId="0" borderId="130" xfId="0" applyFont="1" applyBorder="1" applyAlignment="1">
      <alignment horizontal="center" vertical="center" wrapText="1"/>
    </xf>
    <xf numFmtId="0" fontId="33" fillId="0" borderId="20" xfId="0" applyFont="1" applyBorder="1" applyAlignment="1">
      <alignment horizontal="center" vertical="center" wrapText="1"/>
    </xf>
    <xf numFmtId="0" fontId="33" fillId="0" borderId="131" xfId="0" applyFont="1" applyBorder="1" applyAlignment="1">
      <alignment horizontal="center" vertical="center" wrapText="1"/>
    </xf>
    <xf numFmtId="0" fontId="138" fillId="0" borderId="8" xfId="0" applyFont="1" applyBorder="1" applyAlignment="1">
      <alignment horizontal="center"/>
    </xf>
    <xf numFmtId="0" fontId="136" fillId="4" borderId="2" xfId="0" applyFont="1" applyFill="1" applyBorder="1" applyAlignment="1">
      <alignment horizontal="center" vertical="center"/>
    </xf>
    <xf numFmtId="0" fontId="136" fillId="4" borderId="6" xfId="0" applyFont="1" applyFill="1" applyBorder="1" applyAlignment="1">
      <alignment horizontal="center" vertical="center"/>
    </xf>
    <xf numFmtId="0" fontId="136" fillId="4" borderId="3" xfId="0" applyFont="1" applyFill="1" applyBorder="1" applyAlignment="1">
      <alignment horizontal="center" vertical="center"/>
    </xf>
    <xf numFmtId="0" fontId="136" fillId="4" borderId="132" xfId="0" applyFont="1" applyFill="1" applyBorder="1" applyAlignment="1">
      <alignment horizontal="center"/>
    </xf>
    <xf numFmtId="0" fontId="136" fillId="4" borderId="133" xfId="0" applyFont="1" applyFill="1" applyBorder="1" applyAlignment="1">
      <alignment horizontal="center"/>
    </xf>
    <xf numFmtId="0" fontId="136" fillId="4" borderId="5" xfId="0" applyFont="1" applyFill="1" applyBorder="1" applyAlignment="1">
      <alignment horizontal="center"/>
    </xf>
    <xf numFmtId="0" fontId="136" fillId="4" borderId="21" xfId="0" applyFont="1" applyFill="1" applyBorder="1" applyAlignment="1">
      <alignment horizontal="center"/>
    </xf>
    <xf numFmtId="0" fontId="133" fillId="3" borderId="21" xfId="0" applyFont="1" applyFill="1" applyBorder="1" applyAlignment="1">
      <alignment horizontal="center"/>
    </xf>
    <xf numFmtId="0" fontId="133" fillId="3" borderId="4" xfId="0" applyFont="1" applyFill="1" applyBorder="1" applyAlignment="1">
      <alignment horizontal="center"/>
    </xf>
    <xf numFmtId="0" fontId="133" fillId="3" borderId="5" xfId="0" applyFont="1" applyFill="1" applyBorder="1" applyAlignment="1">
      <alignment horizontal="center"/>
    </xf>
    <xf numFmtId="0" fontId="133" fillId="3" borderId="33" xfId="0" applyFont="1" applyFill="1" applyBorder="1" applyAlignment="1">
      <alignment horizontal="center"/>
    </xf>
    <xf numFmtId="0" fontId="141" fillId="0" borderId="8" xfId="0" applyFont="1" applyBorder="1" applyAlignment="1">
      <alignment horizontal="center"/>
    </xf>
    <xf numFmtId="0" fontId="136" fillId="4" borderId="4" xfId="0" applyFont="1" applyFill="1" applyBorder="1" applyAlignment="1">
      <alignment horizontal="center" vertical="center"/>
    </xf>
    <xf numFmtId="0" fontId="138" fillId="0" borderId="33" xfId="0" applyFont="1" applyBorder="1" applyAlignment="1">
      <alignment horizontal="center"/>
    </xf>
    <xf numFmtId="0" fontId="137" fillId="4" borderId="4" xfId="0" applyFont="1" applyFill="1" applyBorder="1" applyAlignment="1">
      <alignment horizontal="center"/>
    </xf>
    <xf numFmtId="0" fontId="137" fillId="4" borderId="24" xfId="0" applyFont="1" applyFill="1" applyBorder="1" applyAlignment="1">
      <alignment horizontal="center"/>
    </xf>
    <xf numFmtId="0" fontId="137" fillId="4" borderId="2" xfId="0" applyFont="1" applyFill="1" applyBorder="1" applyAlignment="1">
      <alignment horizontal="center"/>
    </xf>
    <xf numFmtId="0" fontId="137" fillId="4" borderId="5" xfId="0" applyFont="1" applyFill="1" applyBorder="1" applyAlignment="1">
      <alignment horizontal="center"/>
    </xf>
    <xf numFmtId="9" fontId="33" fillId="3" borderId="14" xfId="0" applyNumberFormat="1" applyFont="1" applyFill="1" applyBorder="1" applyAlignment="1">
      <alignment horizontal="center" vertical="center"/>
    </xf>
    <xf numFmtId="9" fontId="33" fillId="3" borderId="10" xfId="0" applyNumberFormat="1" applyFont="1" applyFill="1" applyBorder="1" applyAlignment="1">
      <alignment horizontal="center" vertical="center"/>
    </xf>
    <xf numFmtId="1" fontId="33" fillId="3" borderId="14" xfId="0" applyNumberFormat="1" applyFont="1" applyFill="1" applyBorder="1" applyAlignment="1">
      <alignment horizontal="center" vertical="center"/>
    </xf>
    <xf numFmtId="1" fontId="33" fillId="3" borderId="10" xfId="0" applyNumberFormat="1" applyFont="1" applyFill="1" applyBorder="1" applyAlignment="1">
      <alignment horizontal="center" vertical="center"/>
    </xf>
    <xf numFmtId="1" fontId="33" fillId="3" borderId="2" xfId="0" applyNumberFormat="1" applyFont="1" applyFill="1" applyBorder="1" applyAlignment="1">
      <alignment horizontal="center" vertical="center"/>
    </xf>
    <xf numFmtId="1" fontId="33" fillId="3" borderId="3" xfId="0" applyNumberFormat="1" applyFont="1" applyFill="1" applyBorder="1" applyAlignment="1">
      <alignment horizontal="center" vertical="center"/>
    </xf>
    <xf numFmtId="9" fontId="33" fillId="3" borderId="2" xfId="0" applyNumberFormat="1" applyFont="1" applyFill="1" applyBorder="1" applyAlignment="1">
      <alignment horizontal="center" vertical="center"/>
    </xf>
    <xf numFmtId="9" fontId="33" fillId="3" borderId="3" xfId="0" applyNumberFormat="1" applyFont="1" applyFill="1" applyBorder="1" applyAlignment="1">
      <alignment horizontal="center" vertical="center"/>
    </xf>
    <xf numFmtId="1" fontId="132" fillId="3" borderId="35" xfId="0" applyNumberFormat="1" applyFont="1" applyFill="1" applyBorder="1" applyAlignment="1">
      <alignment horizontal="center" vertical="center" wrapText="1"/>
    </xf>
    <xf numFmtId="0" fontId="132" fillId="3" borderId="2" xfId="0" applyFont="1" applyFill="1" applyBorder="1" applyAlignment="1">
      <alignment horizontal="center" vertical="center" wrapText="1"/>
    </xf>
    <xf numFmtId="0" fontId="132" fillId="3" borderId="3" xfId="0" applyFont="1" applyFill="1" applyBorder="1" applyAlignment="1">
      <alignment horizontal="center" vertical="center" wrapText="1"/>
    </xf>
    <xf numFmtId="1" fontId="33" fillId="3" borderId="59" xfId="0" applyNumberFormat="1" applyFont="1" applyFill="1" applyBorder="1" applyAlignment="1">
      <alignment horizontal="center" vertical="center"/>
    </xf>
    <xf numFmtId="1" fontId="33" fillId="3" borderId="134" xfId="0" applyNumberFormat="1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 wrapText="1"/>
    </xf>
    <xf numFmtId="0" fontId="34" fillId="4" borderId="0" xfId="0" applyFont="1" applyFill="1" applyBorder="1" applyAlignment="1">
      <alignment horizontal="center"/>
    </xf>
    <xf numFmtId="0" fontId="57" fillId="0" borderId="43" xfId="0" applyFont="1" applyBorder="1" applyAlignment="1">
      <alignment horizontal="center" vertical="center"/>
    </xf>
    <xf numFmtId="0" fontId="57" fillId="0" borderId="0" xfId="0" applyFont="1" applyBorder="1" applyAlignment="1">
      <alignment horizontal="center" vertical="center"/>
    </xf>
    <xf numFmtId="0" fontId="24" fillId="3" borderId="63" xfId="0" applyFont="1" applyFill="1" applyBorder="1" applyAlignment="1">
      <alignment horizontal="center" vertical="center"/>
    </xf>
    <xf numFmtId="0" fontId="25" fillId="3" borderId="5" xfId="0" applyFont="1" applyFill="1" applyBorder="1" applyAlignment="1">
      <alignment horizontal="center" vertical="center" wrapText="1"/>
    </xf>
    <xf numFmtId="0" fontId="25" fillId="3" borderId="21" xfId="0" applyFont="1" applyFill="1" applyBorder="1" applyAlignment="1">
      <alignment horizontal="center" vertical="center" wrapText="1"/>
    </xf>
    <xf numFmtId="9" fontId="99" fillId="21" borderId="6" xfId="0" applyNumberFormat="1" applyFont="1" applyFill="1" applyBorder="1" applyAlignment="1">
      <alignment horizontal="center" vertical="center"/>
    </xf>
    <xf numFmtId="9" fontId="99" fillId="21" borderId="3" xfId="0" applyNumberFormat="1" applyFont="1" applyFill="1" applyBorder="1" applyAlignment="1">
      <alignment horizontal="center" vertical="center"/>
    </xf>
    <xf numFmtId="9" fontId="99" fillId="21" borderId="2" xfId="0" applyNumberFormat="1" applyFont="1" applyFill="1" applyBorder="1" applyAlignment="1">
      <alignment horizontal="center" vertical="center"/>
    </xf>
    <xf numFmtId="1" fontId="99" fillId="21" borderId="6" xfId="0" applyNumberFormat="1" applyFont="1" applyFill="1" applyBorder="1" applyAlignment="1">
      <alignment horizontal="center" vertical="center"/>
    </xf>
    <xf numFmtId="1" fontId="99" fillId="21" borderId="3" xfId="0" applyNumberFormat="1" applyFont="1" applyFill="1" applyBorder="1" applyAlignment="1">
      <alignment horizontal="center" vertical="center"/>
    </xf>
    <xf numFmtId="1" fontId="99" fillId="21" borderId="2" xfId="0" applyNumberFormat="1" applyFont="1" applyFill="1" applyBorder="1" applyAlignment="1">
      <alignment horizontal="center" vertical="center"/>
    </xf>
    <xf numFmtId="0" fontId="99" fillId="21" borderId="3" xfId="0" applyFont="1" applyFill="1" applyBorder="1" applyAlignment="1">
      <alignment horizontal="center" vertical="center"/>
    </xf>
    <xf numFmtId="1" fontId="99" fillId="21" borderId="35" xfId="0" applyNumberFormat="1" applyFont="1" applyFill="1" applyBorder="1" applyAlignment="1">
      <alignment horizontal="center" vertical="center" wrapText="1"/>
    </xf>
    <xf numFmtId="1" fontId="99" fillId="21" borderId="10" xfId="0" applyNumberFormat="1" applyFont="1" applyFill="1" applyBorder="1" applyAlignment="1">
      <alignment horizontal="center" vertical="center" wrapText="1"/>
    </xf>
    <xf numFmtId="0" fontId="99" fillId="21" borderId="14" xfId="0" applyFont="1" applyFill="1" applyBorder="1" applyAlignment="1">
      <alignment horizontal="center" vertical="center" wrapText="1"/>
    </xf>
    <xf numFmtId="0" fontId="99" fillId="21" borderId="10" xfId="0" applyFont="1" applyFill="1" applyBorder="1" applyAlignment="1">
      <alignment horizontal="center" vertical="center" wrapText="1"/>
    </xf>
    <xf numFmtId="0" fontId="99" fillId="21" borderId="2" xfId="0" applyFont="1" applyFill="1" applyBorder="1" applyAlignment="1">
      <alignment horizontal="center" vertical="center"/>
    </xf>
    <xf numFmtId="0" fontId="25" fillId="21" borderId="2" xfId="0" applyFont="1" applyFill="1" applyBorder="1" applyAlignment="1">
      <alignment horizontal="center" vertical="center" wrapText="1"/>
    </xf>
    <xf numFmtId="0" fontId="25" fillId="21" borderId="6" xfId="0" applyFont="1" applyFill="1" applyBorder="1" applyAlignment="1">
      <alignment horizontal="center" vertical="center" wrapText="1"/>
    </xf>
    <xf numFmtId="0" fontId="25" fillId="21" borderId="3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9" fillId="21" borderId="6" xfId="0" applyFont="1" applyFill="1" applyBorder="1" applyAlignment="1">
      <alignment horizontal="center" vertical="center"/>
    </xf>
    <xf numFmtId="0" fontId="25" fillId="21" borderId="63" xfId="0" applyFont="1" applyFill="1" applyBorder="1" applyAlignment="1">
      <alignment horizontal="center" vertical="center"/>
    </xf>
    <xf numFmtId="0" fontId="25" fillId="21" borderId="14" xfId="0" applyFont="1" applyFill="1" applyBorder="1" applyAlignment="1">
      <alignment horizontal="center" vertical="center" wrapText="1"/>
    </xf>
    <xf numFmtId="0" fontId="25" fillId="21" borderId="70" xfId="0" applyFont="1" applyFill="1" applyBorder="1" applyAlignment="1">
      <alignment horizontal="center" vertical="center" wrapText="1"/>
    </xf>
    <xf numFmtId="0" fontId="25" fillId="21" borderId="10" xfId="0" applyFont="1" applyFill="1" applyBorder="1" applyAlignment="1">
      <alignment horizontal="center" vertical="center" wrapText="1"/>
    </xf>
    <xf numFmtId="0" fontId="25" fillId="21" borderId="8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/>
    </xf>
    <xf numFmtId="0" fontId="40" fillId="0" borderId="0" xfId="0" applyFont="1" applyAlignment="1">
      <alignment horizontal="center"/>
    </xf>
    <xf numFmtId="17" fontId="34" fillId="0" borderId="0" xfId="0" applyNumberFormat="1" applyFont="1" applyAlignment="1">
      <alignment horizontal="center" wrapText="1"/>
    </xf>
    <xf numFmtId="0" fontId="25" fillId="3" borderId="2" xfId="0" applyFont="1" applyFill="1" applyBorder="1" applyAlignment="1">
      <alignment horizontal="center" vertical="center"/>
    </xf>
    <xf numFmtId="0" fontId="25" fillId="3" borderId="3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center"/>
    </xf>
    <xf numFmtId="17" fontId="34" fillId="0" borderId="0" xfId="0" applyNumberFormat="1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17" fontId="28" fillId="0" borderId="0" xfId="0" applyNumberFormat="1" applyFont="1" applyAlignment="1">
      <alignment horizontal="center"/>
    </xf>
    <xf numFmtId="0" fontId="45" fillId="0" borderId="0" xfId="0" applyFont="1" applyAlignment="1">
      <alignment horizontal="center"/>
    </xf>
    <xf numFmtId="0" fontId="87" fillId="0" borderId="118" xfId="0" applyFont="1" applyBorder="1" applyAlignment="1">
      <alignment horizontal="center"/>
    </xf>
    <xf numFmtId="0" fontId="87" fillId="0" borderId="69" xfId="0" applyFont="1" applyBorder="1" applyAlignment="1">
      <alignment horizontal="center"/>
    </xf>
    <xf numFmtId="17" fontId="9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0" fontId="90" fillId="3" borderId="35" xfId="0" applyFont="1" applyFill="1" applyBorder="1" applyAlignment="1">
      <alignment horizontal="center" wrapText="1"/>
    </xf>
    <xf numFmtId="0" fontId="90" fillId="3" borderId="0" xfId="0" applyFont="1" applyFill="1" applyBorder="1" applyAlignment="1">
      <alignment horizontal="center" wrapText="1"/>
    </xf>
    <xf numFmtId="0" fontId="33" fillId="4" borderId="135" xfId="0" applyFont="1" applyFill="1" applyBorder="1" applyAlignment="1">
      <alignment horizontal="center"/>
    </xf>
    <xf numFmtId="0" fontId="33" fillId="4" borderId="136" xfId="0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17" fontId="34" fillId="0" borderId="0" xfId="0" applyNumberFormat="1" applyFont="1" applyAlignment="1">
      <alignment horizontal="center"/>
    </xf>
    <xf numFmtId="0" fontId="87" fillId="0" borderId="137" xfId="0" applyFont="1" applyBorder="1" applyAlignment="1">
      <alignment horizontal="center"/>
    </xf>
    <xf numFmtId="0" fontId="34" fillId="3" borderId="4" xfId="0" applyFont="1" applyFill="1" applyBorder="1" applyAlignment="1">
      <alignment horizontal="center" vertical="center"/>
    </xf>
    <xf numFmtId="9" fontId="63" fillId="3" borderId="4" xfId="0" applyNumberFormat="1" applyFont="1" applyFill="1" applyBorder="1" applyAlignment="1">
      <alignment horizontal="center" vertical="center" wrapText="1"/>
    </xf>
    <xf numFmtId="9" fontId="65" fillId="0" borderId="4" xfId="0" applyNumberFormat="1" applyFont="1" applyBorder="1" applyAlignment="1">
      <alignment wrapText="1"/>
    </xf>
    <xf numFmtId="0" fontId="0" fillId="0" borderId="7" xfId="0" applyBorder="1" applyAlignment="1">
      <alignment horizontal="center" vertical="center"/>
    </xf>
    <xf numFmtId="9" fontId="0" fillId="4" borderId="139" xfId="0" applyNumberFormat="1" applyFill="1" applyBorder="1" applyAlignment="1">
      <alignment horizontal="center"/>
    </xf>
    <xf numFmtId="9" fontId="0" fillId="4" borderId="47" xfId="0" applyNumberFormat="1" applyFill="1" applyBorder="1" applyAlignment="1">
      <alignment horizontal="center"/>
    </xf>
    <xf numFmtId="9" fontId="63" fillId="4" borderId="64" xfId="0" applyNumberFormat="1" applyFont="1" applyFill="1" applyBorder="1" applyAlignment="1">
      <alignment horizontal="center" vertical="center"/>
    </xf>
    <xf numFmtId="0" fontId="33" fillId="4" borderId="64" xfId="0" applyFont="1" applyFill="1" applyBorder="1" applyAlignment="1">
      <alignment horizontal="center" vertical="center"/>
    </xf>
    <xf numFmtId="0" fontId="33" fillId="3" borderId="14" xfId="0" applyFont="1" applyFill="1" applyBorder="1" applyAlignment="1">
      <alignment horizontal="center" vertical="center"/>
    </xf>
    <xf numFmtId="0" fontId="33" fillId="3" borderId="24" xfId="0" applyFont="1" applyFill="1" applyBorder="1" applyAlignment="1">
      <alignment horizontal="center" vertical="center"/>
    </xf>
    <xf numFmtId="9" fontId="63" fillId="3" borderId="14" xfId="0" applyNumberFormat="1" applyFont="1" applyFill="1" applyBorder="1" applyAlignment="1">
      <alignment horizontal="center" vertical="center"/>
    </xf>
    <xf numFmtId="9" fontId="63" fillId="3" borderId="70" xfId="0" applyNumberFormat="1" applyFont="1" applyFill="1" applyBorder="1" applyAlignment="1">
      <alignment horizontal="center" vertical="center"/>
    </xf>
    <xf numFmtId="0" fontId="87" fillId="0" borderId="36" xfId="0" applyFont="1" applyFill="1" applyBorder="1" applyAlignment="1">
      <alignment horizontal="center" vertical="center" wrapText="1"/>
    </xf>
    <xf numFmtId="0" fontId="0" fillId="4" borderId="64" xfId="0" applyFill="1" applyBorder="1" applyAlignment="1">
      <alignment horizontal="center" vertical="center"/>
    </xf>
    <xf numFmtId="9" fontId="0" fillId="4" borderId="64" xfId="0" applyNumberFormat="1" applyFill="1" applyBorder="1" applyAlignment="1">
      <alignment horizontal="center"/>
    </xf>
    <xf numFmtId="0" fontId="25" fillId="3" borderId="6" xfId="0" applyFont="1" applyFill="1" applyBorder="1" applyAlignment="1">
      <alignment horizontal="center" vertical="center" wrapText="1"/>
    </xf>
    <xf numFmtId="9" fontId="0" fillId="4" borderId="139" xfId="0" applyNumberFormat="1" applyFill="1" applyBorder="1" applyAlignment="1">
      <alignment horizontal="center" vertical="center"/>
    </xf>
    <xf numFmtId="9" fontId="0" fillId="4" borderId="47" xfId="0" applyNumberFormat="1" applyFill="1" applyBorder="1" applyAlignment="1">
      <alignment horizontal="center" vertical="center"/>
    </xf>
    <xf numFmtId="0" fontId="25" fillId="3" borderId="3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33" fillId="3" borderId="10" xfId="0" applyFont="1" applyFill="1" applyBorder="1" applyAlignment="1">
      <alignment horizontal="center" vertical="center"/>
    </xf>
    <xf numFmtId="0" fontId="33" fillId="3" borderId="62" xfId="0" applyFont="1" applyFill="1" applyBorder="1" applyAlignment="1">
      <alignment horizontal="center" vertical="center"/>
    </xf>
    <xf numFmtId="9" fontId="63" fillId="3" borderId="10" xfId="0" applyNumberFormat="1" applyFont="1" applyFill="1" applyBorder="1" applyAlignment="1">
      <alignment horizontal="center" vertical="center"/>
    </xf>
    <xf numFmtId="9" fontId="63" fillId="3" borderId="62" xfId="0" applyNumberFormat="1" applyFont="1" applyFill="1" applyBorder="1" applyAlignment="1">
      <alignment horizontal="center" vertical="center"/>
    </xf>
    <xf numFmtId="9" fontId="63" fillId="3" borderId="8" xfId="0" applyNumberFormat="1" applyFont="1" applyFill="1" applyBorder="1" applyAlignment="1">
      <alignment horizontal="center" vertical="center"/>
    </xf>
    <xf numFmtId="9" fontId="0" fillId="4" borderId="46" xfId="0" applyNumberFormat="1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63" fillId="3" borderId="70" xfId="0" applyFont="1" applyFill="1" applyBorder="1" applyAlignment="1">
      <alignment horizontal="center" vertical="center"/>
    </xf>
    <xf numFmtId="0" fontId="63" fillId="3" borderId="24" xfId="0" applyFont="1" applyFill="1" applyBorder="1" applyAlignment="1">
      <alignment horizontal="center" vertical="center"/>
    </xf>
    <xf numFmtId="0" fontId="33" fillId="3" borderId="132" xfId="0" applyFont="1" applyFill="1" applyBorder="1" applyAlignment="1">
      <alignment horizontal="center" vertical="center"/>
    </xf>
    <xf numFmtId="0" fontId="33" fillId="3" borderId="133" xfId="0" applyFont="1" applyFill="1" applyBorder="1" applyAlignment="1">
      <alignment horizontal="center" vertical="center"/>
    </xf>
    <xf numFmtId="9" fontId="63" fillId="3" borderId="5" xfId="0" applyNumberFormat="1" applyFont="1" applyFill="1" applyBorder="1" applyAlignment="1">
      <alignment horizontal="center" vertical="center"/>
    </xf>
    <xf numFmtId="9" fontId="63" fillId="3" borderId="33" xfId="0" applyNumberFormat="1" applyFont="1" applyFill="1" applyBorder="1" applyAlignment="1">
      <alignment horizontal="center" vertical="center"/>
    </xf>
    <xf numFmtId="0" fontId="117" fillId="0" borderId="23" xfId="0" applyFont="1" applyBorder="1" applyAlignment="1">
      <alignment horizontal="center" vertical="center" wrapText="1"/>
    </xf>
    <xf numFmtId="0" fontId="117" fillId="0" borderId="68" xfId="0" applyFont="1" applyBorder="1" applyAlignment="1">
      <alignment horizontal="center" vertical="center" wrapText="1"/>
    </xf>
    <xf numFmtId="0" fontId="117" fillId="0" borderId="32" xfId="0" applyFont="1" applyBorder="1" applyAlignment="1">
      <alignment horizontal="center" vertical="center" wrapText="1"/>
    </xf>
    <xf numFmtId="0" fontId="117" fillId="0" borderId="7" xfId="0" applyFont="1" applyBorder="1" applyAlignment="1">
      <alignment horizontal="center" vertical="center" wrapText="1"/>
    </xf>
    <xf numFmtId="0" fontId="63" fillId="3" borderId="5" xfId="0" applyFont="1" applyFill="1" applyBorder="1" applyAlignment="1">
      <alignment horizontal="center" vertical="center"/>
    </xf>
    <xf numFmtId="0" fontId="63" fillId="3" borderId="21" xfId="0" applyFont="1" applyFill="1" applyBorder="1" applyAlignment="1">
      <alignment horizontal="center" vertical="center"/>
    </xf>
    <xf numFmtId="0" fontId="30" fillId="3" borderId="10" xfId="0" applyFont="1" applyFill="1" applyBorder="1" applyAlignment="1">
      <alignment horizontal="center" vertical="center"/>
    </xf>
    <xf numFmtId="0" fontId="30" fillId="3" borderId="21" xfId="0" applyFont="1" applyFill="1" applyBorder="1" applyAlignment="1">
      <alignment horizontal="center" vertical="center"/>
    </xf>
    <xf numFmtId="0" fontId="86" fillId="0" borderId="23" xfId="0" applyFont="1" applyBorder="1" applyAlignment="1">
      <alignment horizontal="center" vertical="center" wrapText="1"/>
    </xf>
    <xf numFmtId="0" fontId="86" fillId="0" borderId="68" xfId="0" applyFont="1" applyBorder="1" applyAlignment="1">
      <alignment horizontal="center" vertical="center" wrapText="1"/>
    </xf>
    <xf numFmtId="0" fontId="86" fillId="0" borderId="32" xfId="0" applyFont="1" applyBorder="1" applyAlignment="1">
      <alignment horizontal="center" vertical="center" wrapText="1"/>
    </xf>
    <xf numFmtId="0" fontId="86" fillId="0" borderId="7" xfId="0" applyFont="1" applyBorder="1" applyAlignment="1">
      <alignment horizontal="center" vertical="center" wrapText="1"/>
    </xf>
    <xf numFmtId="9" fontId="65" fillId="0" borderId="5" xfId="0" applyNumberFormat="1" applyFont="1" applyBorder="1" applyAlignment="1">
      <alignment vertical="center" wrapText="1"/>
    </xf>
    <xf numFmtId="0" fontId="30" fillId="3" borderId="5" xfId="0" applyFont="1" applyFill="1" applyBorder="1" applyAlignment="1">
      <alignment horizontal="center" vertical="center" wrapText="1"/>
    </xf>
    <xf numFmtId="0" fontId="0" fillId="0" borderId="21" xfId="0" applyBorder="1" applyAlignment="1">
      <alignment wrapText="1"/>
    </xf>
    <xf numFmtId="1" fontId="33" fillId="3" borderId="140" xfId="0" applyNumberFormat="1" applyFont="1" applyFill="1" applyBorder="1" applyAlignment="1">
      <alignment horizontal="center" vertical="center"/>
    </xf>
    <xf numFmtId="0" fontId="33" fillId="3" borderId="75" xfId="0" applyFont="1" applyFill="1" applyBorder="1" applyAlignment="1">
      <alignment horizontal="center" vertical="center"/>
    </xf>
    <xf numFmtId="9" fontId="65" fillId="0" borderId="4" xfId="0" applyNumberFormat="1" applyFont="1" applyBorder="1" applyAlignment="1">
      <alignment vertical="center" wrapText="1"/>
    </xf>
    <xf numFmtId="0" fontId="108" fillId="0" borderId="40" xfId="0" applyFont="1" applyBorder="1" applyAlignment="1">
      <alignment horizontal="center" vertical="center" wrapText="1"/>
    </xf>
    <xf numFmtId="0" fontId="108" fillId="0" borderId="71" xfId="0" applyFont="1" applyBorder="1" applyAlignment="1">
      <alignment horizontal="center" vertical="center" wrapText="1"/>
    </xf>
    <xf numFmtId="0" fontId="25" fillId="3" borderId="2" xfId="0" applyFont="1" applyFill="1" applyBorder="1" applyAlignment="1">
      <alignment horizontal="center" vertical="center" wrapText="1"/>
    </xf>
    <xf numFmtId="0" fontId="25" fillId="3" borderId="14" xfId="0" applyFont="1" applyFill="1" applyBorder="1" applyAlignment="1">
      <alignment horizontal="center" vertical="center" wrapText="1"/>
    </xf>
    <xf numFmtId="9" fontId="0" fillId="4" borderId="5" xfId="0" applyNumberFormat="1" applyFill="1" applyBorder="1" applyAlignment="1">
      <alignment horizontal="center" vertical="center"/>
    </xf>
    <xf numFmtId="9" fontId="0" fillId="4" borderId="33" xfId="0" applyNumberFormat="1" applyFill="1" applyBorder="1" applyAlignment="1">
      <alignment horizontal="center" vertical="center"/>
    </xf>
    <xf numFmtId="1" fontId="25" fillId="0" borderId="19" xfId="0" applyNumberFormat="1" applyFont="1" applyFill="1" applyBorder="1" applyAlignment="1">
      <alignment horizontal="center" vertical="center"/>
    </xf>
    <xf numFmtId="1" fontId="25" fillId="0" borderId="50" xfId="0" applyNumberFormat="1" applyFont="1" applyFill="1" applyBorder="1" applyAlignment="1">
      <alignment horizontal="center" vertical="center"/>
    </xf>
    <xf numFmtId="9" fontId="63" fillId="3" borderId="21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vertical="center" wrapText="1"/>
    </xf>
    <xf numFmtId="1" fontId="34" fillId="3" borderId="4" xfId="0" applyNumberFormat="1" applyFont="1" applyFill="1" applyBorder="1" applyAlignment="1">
      <alignment horizontal="center" vertical="center"/>
    </xf>
    <xf numFmtId="1" fontId="33" fillId="3" borderId="138" xfId="0" applyNumberFormat="1" applyFont="1" applyFill="1" applyBorder="1" applyAlignment="1">
      <alignment horizontal="center" vertical="center"/>
    </xf>
    <xf numFmtId="0" fontId="33" fillId="3" borderId="57" xfId="0" applyFont="1" applyFill="1" applyBorder="1" applyAlignment="1">
      <alignment horizontal="center" vertical="center"/>
    </xf>
    <xf numFmtId="9" fontId="33" fillId="3" borderId="35" xfId="0" applyNumberFormat="1" applyFont="1" applyFill="1" applyBorder="1" applyAlignment="1">
      <alignment horizontal="center" vertical="center"/>
    </xf>
    <xf numFmtId="9" fontId="33" fillId="3" borderId="0" xfId="0" applyNumberFormat="1" applyFont="1" applyFill="1" applyBorder="1" applyAlignment="1">
      <alignment horizontal="center" vertical="center"/>
    </xf>
    <xf numFmtId="9" fontId="34" fillId="3" borderId="4" xfId="0" applyNumberFormat="1" applyFont="1" applyFill="1" applyBorder="1" applyAlignment="1">
      <alignment horizontal="center" vertical="center"/>
    </xf>
    <xf numFmtId="9" fontId="34" fillId="3" borderId="5" xfId="0" applyNumberFormat="1" applyFont="1" applyFill="1" applyBorder="1" applyAlignment="1">
      <alignment horizontal="center" vertical="center"/>
    </xf>
    <xf numFmtId="1" fontId="25" fillId="0" borderId="44" xfId="0" applyNumberFormat="1" applyFont="1" applyFill="1" applyBorder="1" applyAlignment="1">
      <alignment horizontal="center" vertical="center"/>
    </xf>
    <xf numFmtId="1" fontId="25" fillId="0" borderId="49" xfId="0" applyNumberFormat="1" applyFont="1" applyFill="1" applyBorder="1" applyAlignment="1">
      <alignment horizontal="center" vertical="center"/>
    </xf>
    <xf numFmtId="9" fontId="0" fillId="4" borderId="10" xfId="0" applyNumberFormat="1" applyFill="1" applyBorder="1" applyAlignment="1">
      <alignment horizontal="center" vertical="center"/>
    </xf>
    <xf numFmtId="9" fontId="0" fillId="4" borderId="8" xfId="0" applyNumberFormat="1" applyFill="1" applyBorder="1" applyAlignment="1">
      <alignment horizontal="center" vertical="center"/>
    </xf>
    <xf numFmtId="1" fontId="25" fillId="0" borderId="11" xfId="0" applyNumberFormat="1" applyFont="1" applyFill="1" applyBorder="1" applyAlignment="1">
      <alignment horizontal="center" vertical="center"/>
    </xf>
    <xf numFmtId="1" fontId="33" fillId="3" borderId="4" xfId="0" applyNumberFormat="1" applyFont="1" applyFill="1" applyBorder="1" applyAlignment="1">
      <alignment horizontal="center" vertical="center"/>
    </xf>
    <xf numFmtId="0" fontId="33" fillId="3" borderId="4" xfId="0" applyFont="1" applyFill="1" applyBorder="1" applyAlignment="1">
      <alignment horizontal="center" vertical="center"/>
    </xf>
    <xf numFmtId="1" fontId="25" fillId="0" borderId="7" xfId="0" applyNumberFormat="1" applyFont="1" applyFill="1" applyBorder="1" applyAlignment="1">
      <alignment horizontal="center" vertical="center"/>
    </xf>
    <xf numFmtId="1" fontId="25" fillId="0" borderId="31" xfId="0" applyNumberFormat="1" applyFont="1" applyFill="1" applyBorder="1" applyAlignment="1">
      <alignment horizontal="center" vertical="center"/>
    </xf>
    <xf numFmtId="1" fontId="25" fillId="0" borderId="34" xfId="0" applyNumberFormat="1" applyFont="1" applyFill="1" applyBorder="1" applyAlignment="1">
      <alignment horizontal="center" vertical="center"/>
    </xf>
    <xf numFmtId="1" fontId="25" fillId="0" borderId="22" xfId="0" applyNumberFormat="1" applyFont="1" applyFill="1" applyBorder="1" applyAlignment="1">
      <alignment horizontal="center" vertical="center"/>
    </xf>
    <xf numFmtId="0" fontId="25" fillId="4" borderId="2" xfId="0" applyFont="1" applyFill="1" applyBorder="1" applyAlignment="1">
      <alignment horizontal="center" vertical="center" wrapText="1"/>
    </xf>
    <xf numFmtId="0" fontId="25" fillId="4" borderId="3" xfId="0" applyFont="1" applyFill="1" applyBorder="1" applyAlignment="1">
      <alignment horizontal="center" vertical="center" wrapText="1"/>
    </xf>
    <xf numFmtId="0" fontId="30" fillId="3" borderId="5" xfId="0" applyFont="1" applyFill="1" applyBorder="1" applyAlignment="1">
      <alignment horizontal="center" vertical="center"/>
    </xf>
    <xf numFmtId="0" fontId="25" fillId="3" borderId="6" xfId="0" applyFont="1" applyFill="1" applyBorder="1" applyAlignment="1">
      <alignment horizontal="center" vertical="center"/>
    </xf>
    <xf numFmtId="0" fontId="29" fillId="4" borderId="35" xfId="0" applyFont="1" applyFill="1" applyBorder="1" applyAlignment="1">
      <alignment horizontal="center" vertical="center"/>
    </xf>
    <xf numFmtId="0" fontId="25" fillId="3" borderId="59" xfId="0" applyFont="1" applyFill="1" applyBorder="1" applyAlignment="1">
      <alignment horizontal="center" vertical="center" wrapText="1"/>
    </xf>
    <xf numFmtId="0" fontId="29" fillId="4" borderId="141" xfId="0" applyFont="1" applyFill="1" applyBorder="1" applyAlignment="1">
      <alignment horizontal="center" vertical="center"/>
    </xf>
    <xf numFmtId="0" fontId="30" fillId="3" borderId="21" xfId="0" applyFont="1" applyFill="1" applyBorder="1" applyAlignment="1">
      <alignment horizontal="center" vertical="center" wrapText="1"/>
    </xf>
    <xf numFmtId="0" fontId="25" fillId="3" borderId="63" xfId="0" applyFont="1" applyFill="1" applyBorder="1" applyAlignment="1">
      <alignment horizontal="center" vertical="center"/>
    </xf>
    <xf numFmtId="0" fontId="34" fillId="4" borderId="0" xfId="0" applyFont="1" applyFill="1" applyAlignment="1">
      <alignment horizontal="center"/>
    </xf>
    <xf numFmtId="0" fontId="57" fillId="0" borderId="34" xfId="0" applyFont="1" applyBorder="1" applyAlignment="1">
      <alignment horizontal="center" vertical="center"/>
    </xf>
    <xf numFmtId="0" fontId="57" fillId="0" borderId="28" xfId="0" applyFont="1" applyBorder="1" applyAlignment="1">
      <alignment horizontal="center" vertical="center"/>
    </xf>
    <xf numFmtId="0" fontId="57" fillId="0" borderId="22" xfId="0" applyFont="1" applyBorder="1" applyAlignment="1">
      <alignment horizontal="center" vertical="center"/>
    </xf>
    <xf numFmtId="0" fontId="57" fillId="0" borderId="48" xfId="0" applyFont="1" applyBorder="1" applyAlignment="1">
      <alignment horizontal="center" vertical="center"/>
    </xf>
    <xf numFmtId="0" fontId="58" fillId="3" borderId="6" xfId="0" applyFont="1" applyFill="1" applyBorder="1" applyAlignment="1">
      <alignment horizontal="center" vertical="center" wrapText="1"/>
    </xf>
    <xf numFmtId="0" fontId="58" fillId="3" borderId="3" xfId="0" applyFont="1" applyFill="1" applyBorder="1" applyAlignment="1">
      <alignment horizontal="center" vertical="center" wrapText="1"/>
    </xf>
    <xf numFmtId="0" fontId="58" fillId="0" borderId="14" xfId="0" applyFont="1" applyFill="1" applyBorder="1" applyAlignment="1">
      <alignment horizontal="left" vertical="center" wrapText="1"/>
    </xf>
    <xf numFmtId="0" fontId="58" fillId="0" borderId="70" xfId="0" applyFont="1" applyFill="1" applyBorder="1" applyAlignment="1">
      <alignment horizontal="left" vertical="center" wrapText="1"/>
    </xf>
    <xf numFmtId="0" fontId="58" fillId="3" borderId="107" xfId="0" applyFont="1" applyFill="1" applyBorder="1" applyAlignment="1">
      <alignment horizontal="center" vertical="center" wrapText="1"/>
    </xf>
    <xf numFmtId="0" fontId="58" fillId="3" borderId="142" xfId="0" applyFont="1" applyFill="1" applyBorder="1" applyAlignment="1">
      <alignment horizontal="center" vertical="center" wrapText="1"/>
    </xf>
    <xf numFmtId="0" fontId="34" fillId="4" borderId="111" xfId="0" applyFont="1" applyFill="1" applyBorder="1" applyAlignment="1">
      <alignment horizontal="center"/>
    </xf>
    <xf numFmtId="0" fontId="34" fillId="4" borderId="49" xfId="0" applyFont="1" applyFill="1" applyBorder="1" applyAlignment="1">
      <alignment horizontal="center"/>
    </xf>
    <xf numFmtId="0" fontId="57" fillId="0" borderId="44" xfId="0" applyFont="1" applyBorder="1" applyAlignment="1">
      <alignment horizontal="center" vertical="center"/>
    </xf>
    <xf numFmtId="0" fontId="57" fillId="0" borderId="49" xfId="0" applyFont="1" applyBorder="1" applyAlignment="1">
      <alignment horizontal="center" vertical="center"/>
    </xf>
    <xf numFmtId="0" fontId="89" fillId="0" borderId="40" xfId="0" applyFont="1" applyBorder="1" applyAlignment="1">
      <alignment horizontal="center" vertical="center" wrapText="1"/>
    </xf>
    <xf numFmtId="0" fontId="89" fillId="0" borderId="41" xfId="0" applyFont="1" applyBorder="1" applyAlignment="1">
      <alignment horizontal="center" vertical="center" wrapText="1"/>
    </xf>
    <xf numFmtId="0" fontId="58" fillId="3" borderId="55" xfId="0" applyFont="1" applyFill="1" applyBorder="1" applyAlignment="1">
      <alignment horizontal="center" vertical="center"/>
    </xf>
    <xf numFmtId="0" fontId="58" fillId="3" borderId="6" xfId="0" applyFont="1" applyFill="1" applyBorder="1" applyAlignment="1">
      <alignment horizontal="center" vertical="center"/>
    </xf>
    <xf numFmtId="0" fontId="62" fillId="0" borderId="118" xfId="0" applyFont="1" applyBorder="1" applyAlignment="1">
      <alignment horizontal="center"/>
    </xf>
    <xf numFmtId="0" fontId="62" fillId="0" borderId="137" xfId="0" applyFont="1" applyBorder="1" applyAlignment="1">
      <alignment horizontal="center"/>
    </xf>
    <xf numFmtId="0" fontId="40" fillId="3" borderId="3" xfId="0" applyFont="1" applyFill="1" applyBorder="1" applyAlignment="1">
      <alignment horizontal="center" vertical="center" wrapText="1"/>
    </xf>
    <xf numFmtId="0" fontId="40" fillId="3" borderId="4" xfId="0" applyFont="1" applyFill="1" applyBorder="1" applyAlignment="1">
      <alignment horizontal="center" vertical="center" wrapText="1"/>
    </xf>
    <xf numFmtId="0" fontId="40" fillId="3" borderId="10" xfId="0" applyFont="1" applyFill="1" applyBorder="1" applyAlignment="1">
      <alignment horizontal="center" vertical="center" wrapText="1"/>
    </xf>
    <xf numFmtId="0" fontId="40" fillId="3" borderId="8" xfId="0" applyFont="1" applyFill="1" applyBorder="1" applyAlignment="1">
      <alignment horizontal="center" vertical="center" wrapText="1"/>
    </xf>
    <xf numFmtId="0" fontId="34" fillId="4" borderId="35" xfId="0" applyFont="1" applyFill="1" applyBorder="1" applyAlignment="1">
      <alignment horizontal="center"/>
    </xf>
    <xf numFmtId="0" fontId="37" fillId="0" borderId="43" xfId="0" applyFont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33" fillId="4" borderId="111" xfId="0" applyFont="1" applyFill="1" applyBorder="1" applyAlignment="1">
      <alignment horizontal="center" vertical="center" wrapText="1"/>
    </xf>
    <xf numFmtId="0" fontId="33" fillId="4" borderId="49" xfId="0" applyFont="1" applyFill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23" xfId="0" applyFont="1" applyFill="1" applyBorder="1" applyAlignment="1">
      <alignment horizontal="center" vertical="center" wrapText="1"/>
    </xf>
    <xf numFmtId="0" fontId="33" fillId="4" borderId="68" xfId="0" applyFont="1" applyFill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3" fillId="0" borderId="32" xfId="0" applyFont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left" vertical="top"/>
    </xf>
    <xf numFmtId="0" fontId="33" fillId="4" borderId="4" xfId="0" applyFont="1" applyFill="1" applyBorder="1" applyAlignment="1">
      <alignment horizontal="center" vertical="center"/>
    </xf>
    <xf numFmtId="0" fontId="33" fillId="0" borderId="22" xfId="0" applyFont="1" applyBorder="1" applyAlignment="1">
      <alignment horizontal="center" vertical="center" wrapText="1"/>
    </xf>
    <xf numFmtId="0" fontId="33" fillId="0" borderId="31" xfId="0" applyFont="1" applyBorder="1" applyAlignment="1">
      <alignment horizontal="center" vertical="center" wrapText="1"/>
    </xf>
    <xf numFmtId="0" fontId="25" fillId="0" borderId="35" xfId="0" applyFont="1" applyFill="1" applyBorder="1" applyAlignment="1">
      <alignment horizontal="left" vertical="center"/>
    </xf>
    <xf numFmtId="0" fontId="25" fillId="0" borderId="0" xfId="0" applyFont="1" applyFill="1" applyBorder="1" applyAlignment="1">
      <alignment horizontal="left" vertical="center"/>
    </xf>
    <xf numFmtId="0" fontId="33" fillId="4" borderId="5" xfId="0" applyFont="1" applyFill="1" applyBorder="1" applyAlignment="1">
      <alignment horizontal="center" vertical="center"/>
    </xf>
    <xf numFmtId="0" fontId="28" fillId="4" borderId="74" xfId="0" applyFont="1" applyFill="1" applyBorder="1" applyAlignment="1">
      <alignment horizontal="center" vertical="center" wrapText="1"/>
    </xf>
    <xf numFmtId="0" fontId="28" fillId="4" borderId="56" xfId="0" applyFont="1" applyFill="1" applyBorder="1" applyAlignment="1">
      <alignment horizontal="center" vertical="center" wrapText="1"/>
    </xf>
    <xf numFmtId="0" fontId="33" fillId="4" borderId="144" xfId="0" applyFont="1" applyFill="1" applyBorder="1" applyAlignment="1">
      <alignment horizontal="center" vertical="center" wrapText="1"/>
    </xf>
    <xf numFmtId="0" fontId="33" fillId="0" borderId="19" xfId="0" applyFont="1" applyFill="1" applyBorder="1" applyAlignment="1">
      <alignment horizontal="center" vertical="center"/>
    </xf>
    <xf numFmtId="0" fontId="33" fillId="0" borderId="50" xfId="0" applyFont="1" applyFill="1" applyBorder="1" applyAlignment="1">
      <alignment horizontal="center" vertical="center"/>
    </xf>
    <xf numFmtId="0" fontId="33" fillId="0" borderId="11" xfId="0" applyFont="1" applyFill="1" applyBorder="1" applyAlignment="1">
      <alignment horizontal="center" vertical="center"/>
    </xf>
    <xf numFmtId="0" fontId="33" fillId="4" borderId="33" xfId="0" applyFont="1" applyFill="1" applyBorder="1" applyAlignment="1">
      <alignment horizontal="center" vertical="center"/>
    </xf>
    <xf numFmtId="0" fontId="31" fillId="4" borderId="14" xfId="0" applyFont="1" applyFill="1" applyBorder="1" applyAlignment="1">
      <alignment horizontal="center" vertical="center"/>
    </xf>
    <xf numFmtId="0" fontId="31" fillId="4" borderId="70" xfId="0" applyFont="1" applyFill="1" applyBorder="1" applyAlignment="1">
      <alignment horizontal="center" vertical="center"/>
    </xf>
    <xf numFmtId="0" fontId="33" fillId="4" borderId="8" xfId="0" applyFont="1" applyFill="1" applyBorder="1" applyAlignment="1">
      <alignment horizontal="center" vertical="center"/>
    </xf>
    <xf numFmtId="0" fontId="33" fillId="4" borderId="14" xfId="0" applyFont="1" applyFill="1" applyBorder="1" applyAlignment="1">
      <alignment horizontal="center" vertical="center" wrapText="1"/>
    </xf>
    <xf numFmtId="0" fontId="33" fillId="4" borderId="70" xfId="0" applyFont="1" applyFill="1" applyBorder="1" applyAlignment="1">
      <alignment horizontal="center" vertical="center" wrapText="1"/>
    </xf>
    <xf numFmtId="0" fontId="33" fillId="4" borderId="24" xfId="0" applyFont="1" applyFill="1" applyBorder="1" applyAlignment="1">
      <alignment horizontal="center" vertical="center" wrapText="1"/>
    </xf>
    <xf numFmtId="0" fontId="33" fillId="3" borderId="3" xfId="0" applyFont="1" applyFill="1" applyBorder="1" applyAlignment="1">
      <alignment horizontal="center" vertical="center"/>
    </xf>
    <xf numFmtId="0" fontId="31" fillId="0" borderId="19" xfId="0" applyFont="1" applyBorder="1" applyAlignment="1">
      <alignment horizontal="center" vertical="center"/>
    </xf>
    <xf numFmtId="0" fontId="31" fillId="0" borderId="50" xfId="0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0" fontId="31" fillId="0" borderId="43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58" fillId="4" borderId="0" xfId="0" applyFont="1" applyFill="1" applyBorder="1" applyAlignment="1">
      <alignment horizontal="center" vertical="center"/>
    </xf>
    <xf numFmtId="0" fontId="33" fillId="0" borderId="43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33" fillId="0" borderId="7" xfId="0" applyFont="1" applyFill="1" applyBorder="1" applyAlignment="1">
      <alignment horizontal="center" vertical="center"/>
    </xf>
    <xf numFmtId="0" fontId="58" fillId="4" borderId="28" xfId="0" applyFont="1" applyFill="1" applyBorder="1" applyAlignment="1">
      <alignment horizontal="center" vertical="center"/>
    </xf>
    <xf numFmtId="0" fontId="28" fillId="3" borderId="140" xfId="0" applyFont="1" applyFill="1" applyBorder="1" applyAlignment="1">
      <alignment horizontal="center" vertical="center"/>
    </xf>
    <xf numFmtId="0" fontId="28" fillId="3" borderId="28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0" fontId="34" fillId="0" borderId="43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33" fillId="3" borderId="5" xfId="0" applyFont="1" applyFill="1" applyBorder="1" applyAlignment="1">
      <alignment horizontal="center" vertical="center"/>
    </xf>
    <xf numFmtId="0" fontId="33" fillId="3" borderId="33" xfId="0" applyFont="1" applyFill="1" applyBorder="1" applyAlignment="1">
      <alignment horizontal="center" vertical="center"/>
    </xf>
    <xf numFmtId="0" fontId="28" fillId="3" borderId="3" xfId="0" applyFont="1" applyFill="1" applyBorder="1" applyAlignment="1">
      <alignment horizontal="center" vertical="center"/>
    </xf>
    <xf numFmtId="0" fontId="33" fillId="3" borderId="112" xfId="0" applyFont="1" applyFill="1" applyBorder="1" applyAlignment="1">
      <alignment horizontal="center" vertical="center" wrapText="1"/>
    </xf>
    <xf numFmtId="0" fontId="33" fillId="3" borderId="113" xfId="0" applyFont="1" applyFill="1" applyBorder="1" applyAlignment="1">
      <alignment horizontal="center" vertical="center" wrapText="1"/>
    </xf>
    <xf numFmtId="0" fontId="33" fillId="3" borderId="114" xfId="0" applyFont="1" applyFill="1" applyBorder="1" applyAlignment="1">
      <alignment horizontal="center" vertical="center" wrapText="1"/>
    </xf>
    <xf numFmtId="0" fontId="31" fillId="2" borderId="84" xfId="0" applyFont="1" applyFill="1" applyBorder="1" applyAlignment="1">
      <alignment horizontal="center" vertical="center" wrapText="1"/>
    </xf>
    <xf numFmtId="0" fontId="31" fillId="2" borderId="18" xfId="0" applyFont="1" applyFill="1" applyBorder="1" applyAlignment="1">
      <alignment horizontal="center" vertical="center" wrapText="1"/>
    </xf>
    <xf numFmtId="0" fontId="31" fillId="0" borderId="83" xfId="0" applyFont="1" applyBorder="1" applyAlignment="1">
      <alignment horizontal="center" vertical="center" wrapText="1"/>
    </xf>
    <xf numFmtId="0" fontId="31" fillId="0" borderId="18" xfId="0" applyFont="1" applyBorder="1" applyAlignment="1">
      <alignment horizontal="center" vertical="center" wrapText="1"/>
    </xf>
    <xf numFmtId="0" fontId="58" fillId="2" borderId="84" xfId="0" applyFont="1" applyFill="1" applyBorder="1" applyAlignment="1">
      <alignment horizontal="center" vertical="center"/>
    </xf>
    <xf numFmtId="0" fontId="58" fillId="2" borderId="18" xfId="0" applyFont="1" applyFill="1" applyBorder="1" applyAlignment="1">
      <alignment horizontal="center" vertical="center"/>
    </xf>
    <xf numFmtId="0" fontId="58" fillId="0" borderId="83" xfId="0" applyFont="1" applyBorder="1" applyAlignment="1">
      <alignment horizontal="center" vertical="center"/>
    </xf>
    <xf numFmtId="0" fontId="58" fillId="0" borderId="145" xfId="0" applyFont="1" applyBorder="1" applyAlignment="1">
      <alignment horizontal="center" vertical="center"/>
    </xf>
    <xf numFmtId="0" fontId="35" fillId="0" borderId="112" xfId="0" applyFont="1" applyBorder="1" applyAlignment="1">
      <alignment horizontal="center" vertical="center"/>
    </xf>
    <xf numFmtId="0" fontId="35" fillId="0" borderId="114" xfId="0" applyFont="1" applyBorder="1" applyAlignment="1">
      <alignment horizontal="center" vertical="center"/>
    </xf>
    <xf numFmtId="0" fontId="58" fillId="2" borderId="15" xfId="0" applyFont="1" applyFill="1" applyBorder="1" applyAlignment="1">
      <alignment horizontal="center" vertical="center"/>
    </xf>
    <xf numFmtId="0" fontId="33" fillId="0" borderId="15" xfId="0" applyFont="1" applyBorder="1" applyAlignment="1">
      <alignment horizontal="center" vertical="center" wrapText="1"/>
    </xf>
    <xf numFmtId="0" fontId="101" fillId="0" borderId="112" xfId="0" applyFont="1" applyBorder="1" applyAlignment="1">
      <alignment horizontal="center" vertical="center"/>
    </xf>
    <xf numFmtId="0" fontId="101" fillId="0" borderId="113" xfId="0" applyFont="1" applyBorder="1" applyAlignment="1">
      <alignment horizontal="center" vertical="center"/>
    </xf>
    <xf numFmtId="0" fontId="101" fillId="0" borderId="114" xfId="0" applyFont="1" applyBorder="1" applyAlignment="1">
      <alignment horizontal="center" vertical="center"/>
    </xf>
    <xf numFmtId="0" fontId="68" fillId="8" borderId="112" xfId="0" applyFont="1" applyFill="1" applyBorder="1" applyAlignment="1">
      <alignment horizontal="center" vertical="center"/>
    </xf>
    <xf numFmtId="0" fontId="68" fillId="8" borderId="114" xfId="0" applyFont="1" applyFill="1" applyBorder="1" applyAlignment="1">
      <alignment horizontal="center" vertical="center"/>
    </xf>
    <xf numFmtId="0" fontId="68" fillId="0" borderId="112" xfId="0" applyFont="1" applyBorder="1" applyAlignment="1">
      <alignment horizontal="center" vertical="center"/>
    </xf>
    <xf numFmtId="0" fontId="68" fillId="0" borderId="113" xfId="0" applyFont="1" applyBorder="1" applyAlignment="1">
      <alignment horizontal="center" vertical="center"/>
    </xf>
    <xf numFmtId="0" fontId="68" fillId="0" borderId="114" xfId="0" applyFont="1" applyBorder="1" applyAlignment="1">
      <alignment horizontal="center" vertical="center"/>
    </xf>
  </cellXfs>
  <cellStyles count="4">
    <cellStyle name="Hiperligação" xfId="1" builtinId="8"/>
    <cellStyle name="Normal" xfId="0" builtinId="0"/>
    <cellStyle name="Percentagem" xfId="2" builtinId="5"/>
    <cellStyle name="Vírgula" xfId="3" builtinId="3"/>
  </cellStyles>
  <dxfs count="0"/>
  <tableStyles count="0" defaultTableStyle="TableStyleMedium9" defaultPivotStyle="PivotStyleLight16"/>
  <colors>
    <mruColors>
      <color rgb="FFCCFFCC"/>
      <color rgb="FF5A5A5A"/>
      <color rgb="FFFF3300"/>
      <color rgb="FFCC0000"/>
      <color rgb="FFFF5050"/>
      <color rgb="FF993300"/>
      <color rgb="FFAD301B"/>
      <color rgb="FF22A661"/>
      <color rgb="FF8314B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E. B. 2, 3 MIGUEL TORGA</a:t>
            </a:r>
          </a:p>
        </c:rich>
      </c:tx>
      <c:layout>
        <c:manualLayout>
          <c:xMode val="edge"/>
          <c:yMode val="edge"/>
          <c:x val="0.19065640337558687"/>
          <c:y val="3.1639445069366917E-2"/>
        </c:manualLayout>
      </c:layout>
      <c:overlay val="0"/>
      <c:spPr>
        <a:noFill/>
        <a:ln w="25400">
          <a:noFill/>
        </a:ln>
      </c:spPr>
    </c:title>
    <c:autoTitleDeleted val="0"/>
    <c:view3D>
      <c:rotX val="25"/>
      <c:rotY val="1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3384149180629654"/>
          <c:y val="0.32251639287315093"/>
          <c:w val="0.57920577272052365"/>
          <c:h val="0.53055794464395656"/>
        </c:manualLayout>
      </c:layout>
      <c:pie3DChart>
        <c:varyColors val="1"/>
        <c:ser>
          <c:idx val="0"/>
          <c:order val="0"/>
          <c:explosion val="25"/>
          <c:dPt>
            <c:idx val="1"/>
            <c:bubble3D val="0"/>
            <c:explosion val="27"/>
          </c:dPt>
          <c:dLbls>
            <c:dLbl>
              <c:idx val="0"/>
              <c:layout>
                <c:manualLayout>
                  <c:x val="3.1135542019512619E-2"/>
                  <c:y val="2.059328137114320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pt-P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0596631395918541E-2"/>
                  <c:y val="-4.950923991643993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pt-PT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('XII-SUCESSO por Ano-Escola'!$C$25,'XII-SUCESSO por Ano-Escola'!$E$25)</c:f>
              <c:strCache>
                <c:ptCount val="2"/>
                <c:pt idx="0">
                  <c:v>% Sucesso</c:v>
                </c:pt>
                <c:pt idx="1">
                  <c:v>% Insucesso</c:v>
                </c:pt>
              </c:strCache>
            </c:strRef>
          </c:cat>
          <c:val>
            <c:numRef>
              <c:f>('XII-SUCESSO por Ano-Escola'!$C$31,'XII-SUCESSO por Ano-Escola'!$E$31)</c:f>
              <c:numCache>
                <c:formatCode>0%</c:formatCode>
                <c:ptCount val="2"/>
                <c:pt idx="0">
                  <c:v>0.78892733564013839</c:v>
                </c:pt>
                <c:pt idx="1">
                  <c:v>0.21107266435986161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printSettings>
    <c:headerFooter alignWithMargins="0"/>
    <c:pageMargins b="1" l="0.75000000000001221" r="0.75000000000001221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gency FB"/>
                <a:ea typeface="Agency FB"/>
                <a:cs typeface="Agency FB"/>
              </a:defRPr>
            </a:pPr>
            <a:r>
              <a:rPr lang="en-US"/>
              <a:t>AGRUPAMENTO MIGUEL TORGA</a:t>
            </a:r>
          </a:p>
        </c:rich>
      </c:tx>
      <c:layout>
        <c:manualLayout>
          <c:xMode val="edge"/>
          <c:yMode val="edge"/>
          <c:x val="0.35433117630897482"/>
          <c:y val="3.492019578633751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1"/>
      <c:rotY val="20"/>
      <c:depthPercent val="100"/>
      <c:rAngAx val="1"/>
    </c:view3D>
    <c:floor>
      <c:thickness val="0"/>
      <c:spPr>
        <a:solidFill>
          <a:schemeClr val="accent5">
            <a:lumMod val="60000"/>
            <a:lumOff val="40000"/>
          </a:schemeClr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sideWall>
    <c:backWall>
      <c:thickness val="0"/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98740727286973E-2"/>
          <c:y val="0.11511243061830385"/>
          <c:w val="0.77067331868811384"/>
          <c:h val="0.7452356316570496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'XII-SUCESSO por Ano-Escola'!$G$46</c:f>
              <c:strCache>
                <c:ptCount val="1"/>
                <c:pt idx="0">
                  <c:v>% Sucesso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'XII-SUCESSO por Ano-Escola'!$E$47:$E$56</c:f>
              <c:strCache>
                <c:ptCount val="10"/>
                <c:pt idx="0">
                  <c:v>1ºAno</c:v>
                </c:pt>
                <c:pt idx="1">
                  <c:v>2ºAno</c:v>
                </c:pt>
                <c:pt idx="2">
                  <c:v>3ºAno</c:v>
                </c:pt>
                <c:pt idx="3">
                  <c:v>4ºAno</c:v>
                </c:pt>
                <c:pt idx="4">
                  <c:v>5ºAno</c:v>
                </c:pt>
                <c:pt idx="5">
                  <c:v>6ºAno</c:v>
                </c:pt>
                <c:pt idx="6">
                  <c:v>7ºAno</c:v>
                </c:pt>
                <c:pt idx="7">
                  <c:v>8ºAno</c:v>
                </c:pt>
                <c:pt idx="8">
                  <c:v>9ºAno</c:v>
                </c:pt>
                <c:pt idx="9">
                  <c:v>CEFs</c:v>
                </c:pt>
              </c:strCache>
            </c:strRef>
          </c:cat>
          <c:val>
            <c:numRef>
              <c:f>'XII-SUCESSO por Ano-Escola'!$G$47:$G$56</c:f>
              <c:numCache>
                <c:formatCode>0%</c:formatCode>
                <c:ptCount val="10"/>
                <c:pt idx="0">
                  <c:v>0.83333333333333337</c:v>
                </c:pt>
                <c:pt idx="1">
                  <c:v>0.77777777777777779</c:v>
                </c:pt>
                <c:pt idx="2">
                  <c:v>0.95419847328244278</c:v>
                </c:pt>
                <c:pt idx="3">
                  <c:v>0.89855072463768115</c:v>
                </c:pt>
                <c:pt idx="4">
                  <c:v>0.90476190476190477</c:v>
                </c:pt>
                <c:pt idx="5">
                  <c:v>0.92307692307692313</c:v>
                </c:pt>
                <c:pt idx="6">
                  <c:v>0.69841269841269837</c:v>
                </c:pt>
                <c:pt idx="7">
                  <c:v>0.80909090909090908</c:v>
                </c:pt>
                <c:pt idx="8">
                  <c:v>0.80232558139534882</c:v>
                </c:pt>
                <c:pt idx="9">
                  <c:v>0.79661016949152541</c:v>
                </c:pt>
              </c:numCache>
            </c:numRef>
          </c:val>
        </c:ser>
        <c:ser>
          <c:idx val="1"/>
          <c:order val="1"/>
          <c:tx>
            <c:strRef>
              <c:f>'XII-SUCESSO por Ano-Escola'!$I$46</c:f>
              <c:strCache>
                <c:ptCount val="1"/>
                <c:pt idx="0">
                  <c:v>% Insucesso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'XII-SUCESSO por Ano-Escola'!$E$47:$E$56</c:f>
              <c:strCache>
                <c:ptCount val="10"/>
                <c:pt idx="0">
                  <c:v>1ºAno</c:v>
                </c:pt>
                <c:pt idx="1">
                  <c:v>2ºAno</c:v>
                </c:pt>
                <c:pt idx="2">
                  <c:v>3ºAno</c:v>
                </c:pt>
                <c:pt idx="3">
                  <c:v>4ºAno</c:v>
                </c:pt>
                <c:pt idx="4">
                  <c:v>5ºAno</c:v>
                </c:pt>
                <c:pt idx="5">
                  <c:v>6ºAno</c:v>
                </c:pt>
                <c:pt idx="6">
                  <c:v>7ºAno</c:v>
                </c:pt>
                <c:pt idx="7">
                  <c:v>8ºAno</c:v>
                </c:pt>
                <c:pt idx="8">
                  <c:v>9ºAno</c:v>
                </c:pt>
                <c:pt idx="9">
                  <c:v>CEFs</c:v>
                </c:pt>
              </c:strCache>
            </c:strRef>
          </c:cat>
          <c:val>
            <c:numRef>
              <c:f>'XII-SUCESSO por Ano-Escola'!$I$47:$I$56</c:f>
              <c:numCache>
                <c:formatCode>0%</c:formatCode>
                <c:ptCount val="10"/>
                <c:pt idx="0">
                  <c:v>0.16666666666666663</c:v>
                </c:pt>
                <c:pt idx="1">
                  <c:v>0.22222222222222221</c:v>
                </c:pt>
                <c:pt idx="2">
                  <c:v>4.5801526717557217E-2</c:v>
                </c:pt>
                <c:pt idx="3">
                  <c:v>0.10144927536231885</c:v>
                </c:pt>
                <c:pt idx="4">
                  <c:v>9.5238095238095233E-2</c:v>
                </c:pt>
                <c:pt idx="5">
                  <c:v>7.6923076923076872E-2</c:v>
                </c:pt>
                <c:pt idx="6">
                  <c:v>0.30158730158730163</c:v>
                </c:pt>
                <c:pt idx="7">
                  <c:v>0.19090909090909092</c:v>
                </c:pt>
                <c:pt idx="8">
                  <c:v>0.19767441860465118</c:v>
                </c:pt>
                <c:pt idx="9">
                  <c:v>0.20338983050847459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3594240"/>
        <c:axId val="113360192"/>
        <c:axId val="0"/>
      </c:bar3DChart>
      <c:catAx>
        <c:axId val="123594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gency FB"/>
                <a:ea typeface="Agency FB"/>
                <a:cs typeface="Agency FB"/>
              </a:defRPr>
            </a:pPr>
            <a:endParaRPr lang="pt-PT"/>
          </a:p>
        </c:txPr>
        <c:crossAx val="1133601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336019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gency FB"/>
                <a:ea typeface="Agency FB"/>
                <a:cs typeface="Agency FB"/>
              </a:defRPr>
            </a:pPr>
            <a:endParaRPr lang="pt-PT"/>
          </a:p>
        </c:txPr>
        <c:crossAx val="1235942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 pitchFamily="34" charset="0"/>
                <a:ea typeface="Agency FB"/>
                <a:cs typeface="Agency FB"/>
              </a:defRPr>
            </a:pPr>
            <a:endParaRPr lang="pt-PT"/>
          </a:p>
        </c:txPr>
      </c:legendEntry>
      <c:legendEntry>
        <c:idx val="1"/>
        <c:txPr>
          <a:bodyPr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rebuchet MS" pitchFamily="34" charset="0"/>
                <a:ea typeface="Agency FB"/>
                <a:cs typeface="Agency FB"/>
              </a:defRPr>
            </a:pPr>
            <a:endParaRPr lang="pt-PT"/>
          </a:p>
        </c:txPr>
      </c:legendEntry>
      <c:layout>
        <c:manualLayout>
          <c:xMode val="edge"/>
          <c:yMode val="edge"/>
          <c:x val="0.82444623360727864"/>
          <c:y val="0.35353651599496855"/>
          <c:w val="0.16666702835726641"/>
          <c:h val="0.36700457374715878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Trebuchet MS" pitchFamily="34" charset="0"/>
              <a:ea typeface="Agency FB"/>
              <a:cs typeface="Agency FB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25400">
      <a:solidFill>
        <a:schemeClr val="bg1">
          <a:lumMod val="50000"/>
        </a:schemeClr>
      </a:solidFill>
      <a:prstDash val="solid"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221" r="0.75000000000001221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1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/>
              <a:t>ARTUR MARTINHO SIMÕES</a:t>
            </a:r>
          </a:p>
        </c:rich>
      </c:tx>
      <c:layout>
        <c:manualLayout>
          <c:xMode val="edge"/>
          <c:yMode val="edge"/>
          <c:x val="0.36418181818181838"/>
          <c:y val="1.3888747777495557E-2"/>
        </c:manualLayout>
      </c:layout>
      <c:overlay val="0"/>
      <c:spPr>
        <a:noFill/>
        <a:ln w="25400">
          <a:noFill/>
        </a:ln>
      </c:spPr>
    </c:title>
    <c:autoTitleDeleted val="0"/>
    <c:view3D>
      <c:rotX val="4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7677353624981714E-2"/>
          <c:y val="0.22042007674720354"/>
          <c:w val="0.82237379349626749"/>
          <c:h val="0.61999141676142777"/>
        </c:manualLayout>
      </c:layout>
      <c:pie3DChart>
        <c:varyColors val="1"/>
        <c:ser>
          <c:idx val="0"/>
          <c:order val="0"/>
          <c:explosion val="13"/>
          <c:dLbls>
            <c:dLbl>
              <c:idx val="0"/>
              <c:layout>
                <c:manualLayout>
                  <c:x val="-0.19375109361329834"/>
                  <c:y val="2.81353893263342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pt-P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9132042869641289"/>
                  <c:y val="-7.0244240303295416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pt-P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('XII-SUCESSO por Ano-Escola'!$C$7,'XII-SUCESSO por Ano-Escola'!$E$7)</c:f>
              <c:strCache>
                <c:ptCount val="2"/>
                <c:pt idx="0">
                  <c:v>% Sucesso</c:v>
                </c:pt>
                <c:pt idx="1">
                  <c:v>% Insucesso</c:v>
                </c:pt>
              </c:strCache>
            </c:strRef>
          </c:cat>
          <c:val>
            <c:numRef>
              <c:f>('XII-SUCESSO por Ano-Escola'!$C$12,'XII-SUCESSO por Ano-Escola'!$E$12)</c:f>
              <c:numCache>
                <c:formatCode>0%</c:formatCode>
                <c:ptCount val="2"/>
                <c:pt idx="0">
                  <c:v>0.88582677165354329</c:v>
                </c:pt>
                <c:pt idx="1">
                  <c:v>0.11417322834645671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printSettings>
    <c:headerFooter/>
    <c:pageMargins b="0.78740157499999996" l="0.511811024" r="0.511811024" t="0.78740157499999996" header="0.31496062000000724" footer="0.314960620000007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0">
                <a:latin typeface="Trebuchet MS" pitchFamily="34" charset="0"/>
              </a:defRPr>
            </a:pPr>
            <a:r>
              <a:rPr lang="en-US" sz="1600" b="0">
                <a:latin typeface="Trebuchet MS" pitchFamily="34" charset="0"/>
              </a:rPr>
              <a:t>RICARDO ALBERTY</a:t>
            </a:r>
          </a:p>
        </c:rich>
      </c:tx>
      <c:layout>
        <c:manualLayout>
          <c:xMode val="edge"/>
          <c:yMode val="edge"/>
          <c:x val="0.54348601458677703"/>
          <c:y val="4.1666814120145113E-2"/>
        </c:manualLayout>
      </c:layout>
      <c:overlay val="0"/>
      <c:spPr>
        <a:noFill/>
        <a:ln w="25400">
          <a:noFill/>
        </a:ln>
      </c:spPr>
    </c:title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7660809882285565E-2"/>
          <c:y val="0.33952059542215296"/>
          <c:w val="0.73116025742669843"/>
          <c:h val="0.54313696189649086"/>
        </c:manualLayout>
      </c:layout>
      <c:pie3DChart>
        <c:varyColors val="1"/>
        <c:ser>
          <c:idx val="0"/>
          <c:order val="0"/>
          <c:explosion val="25"/>
          <c:dLbls>
            <c:dLbl>
              <c:idx val="0"/>
              <c:layout>
                <c:manualLayout>
                  <c:x val="3.8990906505384872E-2"/>
                  <c:y val="-5.4443809781842087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% </a:t>
                    </a:r>
                    <a:r>
                      <a:rPr lang="en-US" sz="900"/>
                      <a:t>Sucesso
78%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>
                      <a:latin typeface="Trebuchet MS" pitchFamily="34" charset="0"/>
                    </a:defRPr>
                  </a:pPr>
                  <a:endParaRPr lang="pt-PT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latin typeface="Trebuchet MS" pitchFamily="34" charset="0"/>
                  </a:defRPr>
                </a:pPr>
                <a:endParaRPr lang="pt-PT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('XII-SUCESSO por Ano-Escola'!$C$16,'XII-SUCESSO por Ano-Escola'!$E$16)</c:f>
              <c:strCache>
                <c:ptCount val="2"/>
                <c:pt idx="0">
                  <c:v>% Sucesso</c:v>
                </c:pt>
                <c:pt idx="1">
                  <c:v>% Insucesso</c:v>
                </c:pt>
              </c:strCache>
            </c:strRef>
          </c:cat>
          <c:val>
            <c:numRef>
              <c:f>('XII-SUCESSO por Ano-Escola'!$C$21,'XII-SUCESSO por Ano-Escola'!$E$21)</c:f>
              <c:numCache>
                <c:formatCode>0%</c:formatCode>
                <c:ptCount val="2"/>
                <c:pt idx="0">
                  <c:v>0.85185185185185186</c:v>
                </c:pt>
                <c:pt idx="1">
                  <c:v>0.14814814814814814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ln w="25400">
      <a:solidFill>
        <a:sysClr val="window" lastClr="FFFFFF">
          <a:lumMod val="50000"/>
        </a:sysClr>
      </a:solidFill>
    </a:ln>
    <a:effectLst>
      <a:outerShdw blurRad="50800" dist="38100" dir="2700000" algn="tl" rotWithShape="0">
        <a:prstClr val="black">
          <a:alpha val="40000"/>
        </a:prstClr>
      </a:outerShdw>
    </a:effectLst>
  </c:spPr>
  <c:printSettings>
    <c:headerFooter/>
    <c:pageMargins b="0.78740157499999996" l="0.511811024" r="0.511811024" t="0.78740157499999996" header="0.31496062000000724" footer="0.314960620000007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AGRUPAMENTO MIGUEL TORGA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'XII-SUCESSO por Ano-Escola'!$A$38</c:f>
              <c:strCache>
                <c:ptCount val="1"/>
                <c:pt idx="0">
                  <c:v>1ºCiclo</c:v>
                </c:pt>
              </c:strCache>
            </c:strRef>
          </c:tx>
          <c:invertIfNegative val="0"/>
          <c:cat>
            <c:strRef>
              <c:f>('XII-SUCESSO por Ano-Escola'!$C$37,'XII-SUCESSO por Ano-Escola'!$E$37)</c:f>
              <c:strCache>
                <c:ptCount val="2"/>
                <c:pt idx="0">
                  <c:v>% Sucesso</c:v>
                </c:pt>
                <c:pt idx="1">
                  <c:v>% Insucesso</c:v>
                </c:pt>
              </c:strCache>
            </c:strRef>
          </c:cat>
          <c:val>
            <c:numRef>
              <c:f>('XII-SUCESSO por Ano-Escola'!$C$38,'XII-SUCESSO por Ano-Escola'!$E$38)</c:f>
              <c:numCache>
                <c:formatCode>0%</c:formatCode>
                <c:ptCount val="2"/>
                <c:pt idx="0">
                  <c:v>0.87272727272727268</c:v>
                </c:pt>
                <c:pt idx="1">
                  <c:v>0.12727272727272732</c:v>
                </c:pt>
              </c:numCache>
            </c:numRef>
          </c:val>
        </c:ser>
        <c:ser>
          <c:idx val="1"/>
          <c:order val="1"/>
          <c:tx>
            <c:strRef>
              <c:f>'XII-SUCESSO por Ano-Escola'!$A$39</c:f>
              <c:strCache>
                <c:ptCount val="1"/>
                <c:pt idx="0">
                  <c:v>2ºCiclo</c:v>
                </c:pt>
              </c:strCache>
            </c:strRef>
          </c:tx>
          <c:invertIfNegative val="0"/>
          <c:cat>
            <c:strRef>
              <c:f>('XII-SUCESSO por Ano-Escola'!$C$37,'XII-SUCESSO por Ano-Escola'!$E$37)</c:f>
              <c:strCache>
                <c:ptCount val="2"/>
                <c:pt idx="0">
                  <c:v>% Sucesso</c:v>
                </c:pt>
                <c:pt idx="1">
                  <c:v>% Insucesso</c:v>
                </c:pt>
              </c:strCache>
            </c:strRef>
          </c:cat>
          <c:val>
            <c:numRef>
              <c:f>('XII-SUCESSO por Ano-Escola'!$C$39,'XII-SUCESSO por Ano-Escola'!$E$39)</c:f>
              <c:numCache>
                <c:formatCode>0%</c:formatCode>
                <c:ptCount val="2"/>
                <c:pt idx="0">
                  <c:v>0.83076923076923082</c:v>
                </c:pt>
                <c:pt idx="1">
                  <c:v>0.16923076923076918</c:v>
                </c:pt>
              </c:numCache>
            </c:numRef>
          </c:val>
        </c:ser>
        <c:ser>
          <c:idx val="2"/>
          <c:order val="2"/>
          <c:tx>
            <c:strRef>
              <c:f>'XII-SUCESSO por Ano-Escola'!$A$40</c:f>
              <c:strCache>
                <c:ptCount val="1"/>
                <c:pt idx="0">
                  <c:v>3º Ciclo</c:v>
                </c:pt>
              </c:strCache>
            </c:strRef>
          </c:tx>
          <c:invertIfNegative val="0"/>
          <c:cat>
            <c:strRef>
              <c:f>('XII-SUCESSO por Ano-Escola'!$C$37,'XII-SUCESSO por Ano-Escola'!$E$37)</c:f>
              <c:strCache>
                <c:ptCount val="2"/>
                <c:pt idx="0">
                  <c:v>% Sucesso</c:v>
                </c:pt>
                <c:pt idx="1">
                  <c:v>% Insucesso</c:v>
                </c:pt>
              </c:strCache>
            </c:strRef>
          </c:cat>
          <c:val>
            <c:numRef>
              <c:f>('XII-SUCESSO por Ano-Escola'!$C$40,'XII-SUCESSO por Ano-Escola'!$E$40)</c:f>
              <c:numCache>
                <c:formatCode>0%</c:formatCode>
                <c:ptCount val="2"/>
                <c:pt idx="0">
                  <c:v>0.73170731707317072</c:v>
                </c:pt>
                <c:pt idx="1">
                  <c:v>0.26829268292682928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3594752"/>
        <c:axId val="161452544"/>
        <c:axId val="0"/>
      </c:bar3DChart>
      <c:catAx>
        <c:axId val="123594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61452544"/>
        <c:crosses val="autoZero"/>
        <c:auto val="1"/>
        <c:lblAlgn val="ctr"/>
        <c:lblOffset val="100"/>
        <c:noMultiLvlLbl val="0"/>
      </c:catAx>
      <c:valAx>
        <c:axId val="161452544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1235947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3783968063696668"/>
          <c:y val="0.40351107633792682"/>
          <c:w val="0.14189220397884109"/>
          <c:h val="0.42105503617870627"/>
        </c:manualLayout>
      </c:layout>
      <c:overlay val="0"/>
    </c:legend>
    <c:plotVisOnly val="1"/>
    <c:dispBlanksAs val="gap"/>
    <c:showDLblsOverMax val="0"/>
  </c:chart>
  <c:spPr>
    <a:ln w="25400">
      <a:solidFill>
        <a:sysClr val="window" lastClr="FFFFFF">
          <a:lumMod val="50000"/>
        </a:sysClr>
      </a:solidFill>
    </a:ln>
    <a:effectLst>
      <a:outerShdw blurRad="50800" dist="38100" dir="2700000" algn="tl" rotWithShape="0">
        <a:prstClr val="black">
          <a:alpha val="40000"/>
        </a:prstClr>
      </a:outerShdw>
    </a:effectLst>
  </c:spPr>
  <c:printSettings>
    <c:headerFooter/>
    <c:pageMargins b="0.78740157499999996" l="0.511811024" r="0.511811024" t="0.78740157499999996" header="0.31496062000000724" footer="0.314960620000007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/>
              <a:t>ENTRADAS de</a:t>
            </a:r>
            <a:r>
              <a:rPr lang="en-US" sz="1200" baseline="0"/>
              <a:t> ALUNOS</a:t>
            </a:r>
            <a:endParaRPr lang="en-US" sz="1200"/>
          </a:p>
        </c:rich>
      </c:tx>
      <c:overlay val="0"/>
      <c:spPr>
        <a:noFill/>
        <a:ln w="25400">
          <a:noFill/>
        </a:ln>
      </c:spPr>
    </c:title>
    <c:autoTitleDeleted val="0"/>
    <c:view3D>
      <c:rotX val="30"/>
      <c:rotY val="4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7244521959185051E-2"/>
          <c:y val="0.38541656373824768"/>
          <c:w val="0.75773679755830459"/>
          <c:h val="0.52446135490054646"/>
        </c:manualLayout>
      </c:layout>
      <c:pie3DChart>
        <c:varyColors val="1"/>
        <c:ser>
          <c:idx val="0"/>
          <c:order val="0"/>
          <c:tx>
            <c:strRef>
              <c:f>'XXXVI-BE'!$A$22</c:f>
              <c:strCache>
                <c:ptCount val="1"/>
                <c:pt idx="0">
                  <c:v>TOTAL</c:v>
                </c:pt>
              </c:strCache>
            </c:strRef>
          </c:tx>
          <c:explosion val="18"/>
          <c:dLbls>
            <c:dLbl>
              <c:idx val="0"/>
              <c:layout>
                <c:manualLayout>
                  <c:x val="-7.3990099771730523E-3"/>
                  <c:y val="-3.690478543126193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pt-P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3.6173857243884201E-2"/>
                  <c:y val="-6.776183433923830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pt-P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5.8562057899267113E-2"/>
                  <c:y val="-4.244187750642845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pt-P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7.242726581001703E-3"/>
                  <c:y val="1.383481714968924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/>
                  </a:pPr>
                  <a:endParaRPr lang="pt-P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spPr>
              <a:noFill/>
              <a:ln w="25400">
                <a:noFill/>
              </a:ln>
            </c:spPr>
            <c:showLegendKey val="0"/>
            <c:showVal val="0"/>
            <c:showCatName val="1"/>
            <c:showSerName val="0"/>
            <c:showPercent val="1"/>
            <c:showBubbleSize val="0"/>
            <c:showLeaderLines val="0"/>
          </c:dLbls>
          <c:cat>
            <c:strRef>
              <c:f>'XXXVI-BE'!$C$18:$E$18</c:f>
              <c:strCache>
                <c:ptCount val="3"/>
                <c:pt idx="0">
                  <c:v>ABRIL</c:v>
                </c:pt>
                <c:pt idx="1">
                  <c:v>MAIO</c:v>
                </c:pt>
                <c:pt idx="2">
                  <c:v>JUNH</c:v>
                </c:pt>
              </c:strCache>
            </c:strRef>
          </c:cat>
          <c:val>
            <c:numRef>
              <c:f>'XXXVI-BE'!$C$22:$E$22</c:f>
              <c:numCache>
                <c:formatCode>General</c:formatCode>
                <c:ptCount val="3"/>
                <c:pt idx="0">
                  <c:v>1714</c:v>
                </c:pt>
                <c:pt idx="1">
                  <c:v>2753</c:v>
                </c:pt>
                <c:pt idx="2">
                  <c:v>1026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3545716621487888"/>
          <c:y val="0.10070312639491492"/>
          <c:w val="0.81645540209113265"/>
          <c:h val="0.6067198743014459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'XXXVI-BE'!$B$29</c:f>
              <c:strCache>
                <c:ptCount val="1"/>
                <c:pt idx="0">
                  <c:v>3ºP 2010-11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'XXXVI-BE'!$A$30:$A$35</c:f>
              <c:strCache>
                <c:ptCount val="6"/>
                <c:pt idx="0">
                  <c:v>5º Ano</c:v>
                </c:pt>
                <c:pt idx="1">
                  <c:v>6º Ano</c:v>
                </c:pt>
                <c:pt idx="2">
                  <c:v>7º Ano</c:v>
                </c:pt>
                <c:pt idx="3">
                  <c:v>8º Ano</c:v>
                </c:pt>
                <c:pt idx="4">
                  <c:v>9º Ano</c:v>
                </c:pt>
                <c:pt idx="5">
                  <c:v>CEF's</c:v>
                </c:pt>
              </c:strCache>
            </c:strRef>
          </c:cat>
          <c:val>
            <c:numRef>
              <c:f>'XXXVI-BE'!$B$30:$B$35</c:f>
              <c:numCache>
                <c:formatCode>General</c:formatCode>
                <c:ptCount val="6"/>
              </c:numCache>
            </c:numRef>
          </c:val>
        </c:ser>
        <c:ser>
          <c:idx val="5"/>
          <c:order val="1"/>
          <c:tx>
            <c:strRef>
              <c:f>'XXXVI-BE'!$F$29</c:f>
              <c:strCache>
                <c:ptCount val="1"/>
                <c:pt idx="0">
                  <c:v>3ºP                 2011-12</c:v>
                </c:pt>
              </c:strCache>
            </c:strRef>
          </c:tx>
          <c:invertIfNegative val="0"/>
          <c:dLbls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'XXXVI-BE'!$A$30:$A$35</c:f>
              <c:strCache>
                <c:ptCount val="6"/>
                <c:pt idx="0">
                  <c:v>5º Ano</c:v>
                </c:pt>
                <c:pt idx="1">
                  <c:v>6º Ano</c:v>
                </c:pt>
                <c:pt idx="2">
                  <c:v>7º Ano</c:v>
                </c:pt>
                <c:pt idx="3">
                  <c:v>8º Ano</c:v>
                </c:pt>
                <c:pt idx="4">
                  <c:v>9º Ano</c:v>
                </c:pt>
                <c:pt idx="5">
                  <c:v>CEF's</c:v>
                </c:pt>
              </c:strCache>
            </c:strRef>
          </c:cat>
          <c:val>
            <c:numRef>
              <c:f>'XXXVI-BE'!$F$30:$F$35</c:f>
              <c:numCache>
                <c:formatCode>General</c:formatCode>
                <c:ptCount val="6"/>
                <c:pt idx="0">
                  <c:v>76</c:v>
                </c:pt>
                <c:pt idx="1">
                  <c:v>104</c:v>
                </c:pt>
                <c:pt idx="2">
                  <c:v>27</c:v>
                </c:pt>
                <c:pt idx="3">
                  <c:v>7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cylinder"/>
        <c:axId val="162128896"/>
        <c:axId val="170762240"/>
        <c:axId val="0"/>
      </c:bar3DChart>
      <c:catAx>
        <c:axId val="16212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170762240"/>
        <c:crosses val="autoZero"/>
        <c:auto val="1"/>
        <c:lblAlgn val="ctr"/>
        <c:lblOffset val="100"/>
        <c:noMultiLvlLbl val="0"/>
      </c:catAx>
      <c:valAx>
        <c:axId val="1707622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6212889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76885258195184558"/>
          <c:y val="0.15571062992125986"/>
          <c:w val="0.21339185060883814"/>
          <c:h val="0.3000715223097149"/>
        </c:manualLayout>
      </c:layout>
      <c:overlay val="0"/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'XXXVI-BE'!$A$42</c:f>
              <c:strCache>
                <c:ptCount val="1"/>
                <c:pt idx="0">
                  <c:v>Pesquisar</c:v>
                </c:pt>
              </c:strCache>
            </c:strRef>
          </c:tx>
          <c:invertIfNegative val="0"/>
          <c:cat>
            <c:strRef>
              <c:f>'XXXVI-BE'!$F$41</c:f>
              <c:strCache>
                <c:ptCount val="1"/>
                <c:pt idx="0">
                  <c:v>3ºP                 2011-12</c:v>
                </c:pt>
              </c:strCache>
            </c:strRef>
          </c:cat>
          <c:val>
            <c:numRef>
              <c:f>'XXXVI-BE'!$F$42</c:f>
              <c:numCache>
                <c:formatCode>General</c:formatCode>
                <c:ptCount val="1"/>
                <c:pt idx="0">
                  <c:v>953</c:v>
                </c:pt>
              </c:numCache>
            </c:numRef>
          </c:val>
        </c:ser>
        <c:ser>
          <c:idx val="1"/>
          <c:order val="1"/>
          <c:tx>
            <c:strRef>
              <c:f>'XXXVI-BE'!$A$43</c:f>
              <c:strCache>
                <c:ptCount val="1"/>
                <c:pt idx="0">
                  <c:v>Jogar</c:v>
                </c:pt>
              </c:strCache>
            </c:strRef>
          </c:tx>
          <c:invertIfNegative val="0"/>
          <c:cat>
            <c:strRef>
              <c:f>'XXXVI-BE'!$F$41</c:f>
              <c:strCache>
                <c:ptCount val="1"/>
                <c:pt idx="0">
                  <c:v>3ºP                 2011-12</c:v>
                </c:pt>
              </c:strCache>
            </c:strRef>
          </c:cat>
          <c:val>
            <c:numRef>
              <c:f>'XXXVI-BE'!$F$43</c:f>
              <c:numCache>
                <c:formatCode>General</c:formatCode>
                <c:ptCount val="1"/>
                <c:pt idx="0">
                  <c:v>672</c:v>
                </c:pt>
              </c:numCache>
            </c:numRef>
          </c:val>
        </c:ser>
        <c:ser>
          <c:idx val="2"/>
          <c:order val="2"/>
          <c:tx>
            <c:strRef>
              <c:f>'XXXVI-BE'!$A$44</c:f>
              <c:strCache>
                <c:ptCount val="1"/>
                <c:pt idx="0">
                  <c:v>Turmas/Reserva</c:v>
                </c:pt>
              </c:strCache>
            </c:strRef>
          </c:tx>
          <c:invertIfNegative val="0"/>
          <c:cat>
            <c:strRef>
              <c:f>'XXXVI-BE'!$F$41</c:f>
              <c:strCache>
                <c:ptCount val="1"/>
                <c:pt idx="0">
                  <c:v>3ºP                 2011-12</c:v>
                </c:pt>
              </c:strCache>
            </c:strRef>
          </c:cat>
          <c:val>
            <c:numRef>
              <c:f>'XXXVI-BE'!$F$44</c:f>
              <c:numCache>
                <c:formatCode>General</c:formatCode>
                <c:ptCount val="1"/>
                <c:pt idx="0">
                  <c:v>25</c:v>
                </c:pt>
              </c:numCache>
            </c:numRef>
          </c:val>
        </c:ser>
        <c:ser>
          <c:idx val="3"/>
          <c:order val="3"/>
          <c:tx>
            <c:strRef>
              <c:f>'XXXVI-BE'!$A$45</c:f>
              <c:strCache>
                <c:ptCount val="1"/>
                <c:pt idx="0">
                  <c:v>Turmas/Substit</c:v>
                </c:pt>
              </c:strCache>
            </c:strRef>
          </c:tx>
          <c:invertIfNegative val="0"/>
          <c:cat>
            <c:strRef>
              <c:f>'XXXVI-BE'!$F$41</c:f>
              <c:strCache>
                <c:ptCount val="1"/>
                <c:pt idx="0">
                  <c:v>3ºP                 2011-12</c:v>
                </c:pt>
              </c:strCache>
            </c:strRef>
          </c:cat>
          <c:val>
            <c:numRef>
              <c:f>'XXXVI-BE'!$F$45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36519680"/>
        <c:axId val="170764544"/>
        <c:axId val="0"/>
      </c:bar3DChart>
      <c:catAx>
        <c:axId val="13651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0764544"/>
        <c:crosses val="autoZero"/>
        <c:auto val="1"/>
        <c:lblAlgn val="ctr"/>
        <c:lblOffset val="100"/>
        <c:noMultiLvlLbl val="0"/>
      </c:catAx>
      <c:valAx>
        <c:axId val="1707645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65196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7045666797588765"/>
          <c:y val="0.44329307004163343"/>
          <c:w val="0.2560278302504348"/>
          <c:h val="0.50279204628217944"/>
        </c:manualLayout>
      </c:layout>
      <c:overlay val="0"/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Média</a:t>
            </a:r>
            <a:r>
              <a:rPr lang="en-US" sz="1100" baseline="0"/>
              <a:t> de l</a:t>
            </a:r>
            <a:r>
              <a:rPr lang="en-US" sz="1100"/>
              <a:t>ivros requisitados </a:t>
            </a:r>
          </a:p>
          <a:p>
            <a:pPr>
              <a:defRPr sz="1100"/>
            </a:pPr>
            <a:r>
              <a:rPr lang="en-US" sz="1100"/>
              <a:t>por</a:t>
            </a:r>
            <a:r>
              <a:rPr lang="en-US" sz="1100" baseline="0"/>
              <a:t> </a:t>
            </a:r>
            <a:r>
              <a:rPr lang="en-US" sz="1100"/>
              <a:t>aluno</a:t>
            </a:r>
          </a:p>
          <a:p>
            <a:pPr>
              <a:defRPr sz="1100"/>
            </a:pPr>
            <a:endParaRPr lang="en-US" sz="1100"/>
          </a:p>
        </c:rich>
      </c:tx>
      <c:layout>
        <c:manualLayout>
          <c:xMode val="edge"/>
          <c:yMode val="edge"/>
          <c:x val="0.2187769151806844"/>
          <c:y val="1.5329297710618601E-3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1866175818931726"/>
          <c:y val="0.10625552451105238"/>
          <c:w val="0.88106292412928722"/>
          <c:h val="0.69431885530437765"/>
        </c:manualLayout>
      </c:layout>
      <c:bar3DChart>
        <c:barDir val="col"/>
        <c:grouping val="clustered"/>
        <c:varyColors val="0"/>
        <c:ser>
          <c:idx val="8"/>
          <c:order val="0"/>
          <c:tx>
            <c:strRef>
              <c:f>'XXXVI-BE'!$A$38</c:f>
              <c:strCache>
                <c:ptCount val="1"/>
                <c:pt idx="0">
                  <c:v>Média requisiç/aluno</c:v>
                </c:pt>
              </c:strCache>
            </c:strRef>
          </c:tx>
          <c:spPr>
            <a:ln>
              <a:solidFill>
                <a:sysClr val="window" lastClr="FFFFFF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4F81BD"/>
              </a:solidFill>
              <a:ln>
                <a:solidFill>
                  <a:sysClr val="window" lastClr="FFFFFF"/>
                </a:solidFill>
              </a:ln>
            </c:spPr>
          </c:dPt>
          <c:dPt>
            <c:idx val="1"/>
            <c:invertIfNegative val="0"/>
            <c:bubble3D val="0"/>
            <c:spPr>
              <a:solidFill>
                <a:srgbClr val="4F81BD"/>
              </a:solidFill>
              <a:ln>
                <a:solidFill>
                  <a:sysClr val="window" lastClr="FFFFFF"/>
                </a:solidFill>
              </a:ln>
            </c:spPr>
          </c:dPt>
          <c:cat>
            <c:strRef>
              <c:f>('XXXVI-BE'!$B$29,'XXXVI-BE'!$F$29)</c:f>
              <c:strCache>
                <c:ptCount val="2"/>
                <c:pt idx="0">
                  <c:v>3ºP 2010-11</c:v>
                </c:pt>
                <c:pt idx="1">
                  <c:v>3ºP                 2011-12</c:v>
                </c:pt>
              </c:strCache>
            </c:strRef>
          </c:cat>
          <c:val>
            <c:numRef>
              <c:f>('XXXVI-BE'!$B$38,'XXXVI-BE'!$F$38)</c:f>
              <c:numCache>
                <c:formatCode>0.0</c:formatCode>
                <c:ptCount val="2"/>
                <c:pt idx="0">
                  <c:v>1.0141242937853108</c:v>
                </c:pt>
                <c:pt idx="1">
                  <c:v>0.31899109792284869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62129920"/>
        <c:axId val="170767424"/>
        <c:axId val="0"/>
      </c:bar3DChart>
      <c:catAx>
        <c:axId val="162129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70767424"/>
        <c:crosses val="autoZero"/>
        <c:auto val="1"/>
        <c:lblAlgn val="ctr"/>
        <c:lblOffset val="100"/>
        <c:noMultiLvlLbl val="0"/>
      </c:catAx>
      <c:valAx>
        <c:axId val="170767424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162129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342900</xdr:colOff>
      <xdr:row>22</xdr:row>
      <xdr:rowOff>133350</xdr:rowOff>
    </xdr:from>
    <xdr:to>
      <xdr:col>12</xdr:col>
      <xdr:colOff>314325</xdr:colOff>
      <xdr:row>30</xdr:row>
      <xdr:rowOff>200025</xdr:rowOff>
    </xdr:to>
    <xdr:graphicFrame macro="">
      <xdr:nvGraphicFramePr>
        <xdr:cNvPr id="2049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534966</xdr:colOff>
      <xdr:row>57</xdr:row>
      <xdr:rowOff>9525</xdr:rowOff>
    </xdr:from>
    <xdr:to>
      <xdr:col>12</xdr:col>
      <xdr:colOff>574109</xdr:colOff>
      <xdr:row>74</xdr:row>
      <xdr:rowOff>85725</xdr:rowOff>
    </xdr:to>
    <xdr:graphicFrame macro="">
      <xdr:nvGraphicFramePr>
        <xdr:cNvPr id="2050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361950</xdr:colOff>
      <xdr:row>4</xdr:row>
      <xdr:rowOff>133350</xdr:rowOff>
    </xdr:from>
    <xdr:to>
      <xdr:col>12</xdr:col>
      <xdr:colOff>295275</xdr:colOff>
      <xdr:row>12</xdr:row>
      <xdr:rowOff>0</xdr:rowOff>
    </xdr:to>
    <xdr:graphicFrame macro="">
      <xdr:nvGraphicFramePr>
        <xdr:cNvPr id="2051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352425</xdr:colOff>
      <xdr:row>13</xdr:row>
      <xdr:rowOff>38100</xdr:rowOff>
    </xdr:from>
    <xdr:to>
      <xdr:col>12</xdr:col>
      <xdr:colOff>304800</xdr:colOff>
      <xdr:row>20</xdr:row>
      <xdr:rowOff>200025</xdr:rowOff>
    </xdr:to>
    <xdr:graphicFrame macro="">
      <xdr:nvGraphicFramePr>
        <xdr:cNvPr id="2052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352425</xdr:colOff>
      <xdr:row>33</xdr:row>
      <xdr:rowOff>65240</xdr:rowOff>
    </xdr:from>
    <xdr:to>
      <xdr:col>12</xdr:col>
      <xdr:colOff>314325</xdr:colOff>
      <xdr:row>41</xdr:row>
      <xdr:rowOff>52192</xdr:rowOff>
    </xdr:to>
    <xdr:graphicFrame macro="">
      <xdr:nvGraphicFramePr>
        <xdr:cNvPr id="2053" name="Gráfico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15</xdr:row>
      <xdr:rowOff>171450</xdr:rowOff>
    </xdr:from>
    <xdr:to>
      <xdr:col>13</xdr:col>
      <xdr:colOff>552450</xdr:colOff>
      <xdr:row>22</xdr:row>
      <xdr:rowOff>47625</xdr:rowOff>
    </xdr:to>
    <xdr:graphicFrame macro="">
      <xdr:nvGraphicFramePr>
        <xdr:cNvPr id="819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171450</xdr:colOff>
      <xdr:row>26</xdr:row>
      <xdr:rowOff>38100</xdr:rowOff>
    </xdr:from>
    <xdr:to>
      <xdr:col>13</xdr:col>
      <xdr:colOff>581025</xdr:colOff>
      <xdr:row>31</xdr:row>
      <xdr:rowOff>95250</xdr:rowOff>
    </xdr:to>
    <xdr:graphicFrame macro="">
      <xdr:nvGraphicFramePr>
        <xdr:cNvPr id="819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228600</xdr:colOff>
      <xdr:row>39</xdr:row>
      <xdr:rowOff>476250</xdr:rowOff>
    </xdr:from>
    <xdr:to>
      <xdr:col>13</xdr:col>
      <xdr:colOff>581025</xdr:colOff>
      <xdr:row>45</xdr:row>
      <xdr:rowOff>9525</xdr:rowOff>
    </xdr:to>
    <xdr:graphicFrame macro="">
      <xdr:nvGraphicFramePr>
        <xdr:cNvPr id="819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161925</xdr:colOff>
      <xdr:row>31</xdr:row>
      <xdr:rowOff>219075</xdr:rowOff>
    </xdr:from>
    <xdr:to>
      <xdr:col>13</xdr:col>
      <xdr:colOff>561975</xdr:colOff>
      <xdr:row>38</xdr:row>
      <xdr:rowOff>0</xdr:rowOff>
    </xdr:to>
    <xdr:graphicFrame macro="">
      <xdr:nvGraphicFramePr>
        <xdr:cNvPr id="8196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0.30356</cdr:x>
      <cdr:y>0.02041</cdr:y>
    </cdr:from>
    <cdr:to>
      <cdr:x>0.91996</cdr:x>
      <cdr:y>0.17687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194141" y="30522"/>
          <a:ext cx="2424810" cy="2339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PT" sz="1000" b="1"/>
            <a:t>REQUISIÇÃO  DOMICILIÁRIA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0.00325</cdr:x>
      <cdr:y>0.00694</cdr:y>
    </cdr:from>
    <cdr:to>
      <cdr:x>0.26948</cdr:x>
      <cdr:y>0.34722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9524" y="9524"/>
          <a:ext cx="781050" cy="4667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PT" sz="800"/>
            <a:t>Nº alunos</a:t>
          </a:r>
        </a:p>
      </cdr:txBody>
    </cdr:sp>
  </cdr:relSizeAnchor>
  <cdr:relSizeAnchor xmlns:cdr="http://schemas.openxmlformats.org/drawingml/2006/chartDrawing">
    <cdr:from>
      <cdr:x>0.62662</cdr:x>
      <cdr:y>0.02083</cdr:y>
    </cdr:from>
    <cdr:to>
      <cdr:x>0.97727</cdr:x>
      <cdr:y>0.48611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838325" y="28575"/>
          <a:ext cx="1028700" cy="6381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PT" sz="900" b="1" i="1"/>
            <a:t>UTILIZAÇÃO DOS COMPUTADORES</a:t>
          </a:r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gepe.min-edu.pt/np4/?newsId=565&amp;fileName=EEF2011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14B0"/>
  </sheetPr>
  <dimension ref="B1:P39"/>
  <sheetViews>
    <sheetView tabSelected="1" view="pageLayout" zoomScaleNormal="120" workbookViewId="0">
      <selection activeCell="E2" sqref="E2"/>
    </sheetView>
  </sheetViews>
  <sheetFormatPr defaultRowHeight="12.75"/>
  <cols>
    <col min="2" max="2" width="9.140625" style="1"/>
    <col min="7" max="7" width="16.140625" customWidth="1"/>
    <col min="8" max="8" width="8" style="254" customWidth="1"/>
  </cols>
  <sheetData>
    <row r="1" spans="2:16" ht="33" thickBot="1">
      <c r="B1" s="1223" t="s">
        <v>290</v>
      </c>
      <c r="C1" s="1224"/>
      <c r="D1" s="1224"/>
      <c r="E1" s="1224"/>
      <c r="F1" s="1224"/>
      <c r="G1" s="1224"/>
      <c r="H1" s="1225"/>
    </row>
    <row r="2" spans="2:16" ht="21">
      <c r="B2" s="251"/>
      <c r="C2" s="250"/>
      <c r="D2" s="250"/>
      <c r="E2" s="250"/>
    </row>
    <row r="3" spans="2:16" ht="22.5">
      <c r="B3" s="253" t="s">
        <v>306</v>
      </c>
      <c r="C3" s="250"/>
      <c r="D3" s="250"/>
      <c r="E3" s="250"/>
      <c r="H3" s="255" t="s">
        <v>307</v>
      </c>
      <c r="I3" s="249"/>
    </row>
    <row r="4" spans="2:16" ht="21">
      <c r="B4" s="252" t="s">
        <v>291</v>
      </c>
      <c r="C4" s="250" t="s">
        <v>588</v>
      </c>
      <c r="D4" s="1226" t="s">
        <v>309</v>
      </c>
      <c r="E4" s="1226"/>
      <c r="F4" s="1226"/>
      <c r="G4" s="1226"/>
      <c r="H4" s="255">
        <v>2</v>
      </c>
      <c r="I4" s="249"/>
    </row>
    <row r="5" spans="2:16" ht="21">
      <c r="B5" s="252" t="s">
        <v>292</v>
      </c>
      <c r="C5" s="250" t="s">
        <v>589</v>
      </c>
      <c r="D5" s="250"/>
      <c r="E5" s="1000" t="s">
        <v>310</v>
      </c>
      <c r="F5" s="1000"/>
      <c r="G5" s="1000"/>
      <c r="H5" s="255">
        <v>3</v>
      </c>
      <c r="I5" s="249"/>
    </row>
    <row r="6" spans="2:16" ht="21">
      <c r="B6" s="252" t="s">
        <v>293</v>
      </c>
      <c r="C6" s="250" t="s">
        <v>311</v>
      </c>
      <c r="D6" s="250"/>
      <c r="E6" s="250"/>
      <c r="H6" s="255">
        <v>4</v>
      </c>
      <c r="I6" s="249"/>
    </row>
    <row r="7" spans="2:16" ht="21">
      <c r="B7" s="252" t="s">
        <v>294</v>
      </c>
      <c r="C7" s="250" t="s">
        <v>590</v>
      </c>
      <c r="D7" s="250"/>
      <c r="E7" s="250" t="s">
        <v>308</v>
      </c>
      <c r="F7" s="960"/>
      <c r="G7" s="960"/>
      <c r="H7" s="255">
        <v>5</v>
      </c>
      <c r="I7" s="249"/>
    </row>
    <row r="8" spans="2:16" ht="21">
      <c r="B8" s="252" t="s">
        <v>295</v>
      </c>
      <c r="C8" s="250" t="s">
        <v>312</v>
      </c>
      <c r="D8" s="250"/>
      <c r="E8" s="250"/>
      <c r="H8" s="255">
        <v>6</v>
      </c>
      <c r="I8" s="249"/>
    </row>
    <row r="9" spans="2:16" ht="21">
      <c r="B9" s="252" t="s">
        <v>296</v>
      </c>
      <c r="C9" s="250" t="s">
        <v>317</v>
      </c>
      <c r="D9" s="250"/>
      <c r="E9" s="250"/>
      <c r="H9" s="255">
        <v>7</v>
      </c>
      <c r="I9" s="249"/>
    </row>
    <row r="10" spans="2:16" ht="21">
      <c r="B10" s="252" t="s">
        <v>297</v>
      </c>
      <c r="C10" s="250" t="s">
        <v>318</v>
      </c>
      <c r="D10" s="250"/>
      <c r="E10" s="250"/>
      <c r="H10" s="255">
        <v>8</v>
      </c>
      <c r="I10" s="249"/>
    </row>
    <row r="11" spans="2:16" ht="21">
      <c r="B11" s="252" t="s">
        <v>298</v>
      </c>
      <c r="C11" s="250" t="s">
        <v>316</v>
      </c>
      <c r="D11" s="250"/>
      <c r="E11" s="250"/>
      <c r="H11" s="255">
        <v>9</v>
      </c>
      <c r="I11" s="249"/>
    </row>
    <row r="12" spans="2:16" ht="21">
      <c r="B12" s="252" t="s">
        <v>299</v>
      </c>
      <c r="C12" s="250" t="s">
        <v>315</v>
      </c>
      <c r="D12" s="250"/>
      <c r="E12" s="250"/>
      <c r="H12" s="255">
        <v>10</v>
      </c>
      <c r="I12" s="249"/>
    </row>
    <row r="13" spans="2:16" ht="21">
      <c r="B13" s="252" t="s">
        <v>300</v>
      </c>
      <c r="C13" s="250" t="s">
        <v>314</v>
      </c>
      <c r="D13" s="250"/>
      <c r="E13" s="250"/>
      <c r="H13" s="255">
        <v>11</v>
      </c>
      <c r="I13" s="249"/>
    </row>
    <row r="14" spans="2:16" ht="21">
      <c r="B14" s="252" t="s">
        <v>301</v>
      </c>
      <c r="C14" s="250" t="s">
        <v>313</v>
      </c>
      <c r="D14" s="250"/>
      <c r="E14" s="250"/>
      <c r="H14" s="255">
        <v>12</v>
      </c>
      <c r="I14" s="249"/>
    </row>
    <row r="15" spans="2:16" ht="21">
      <c r="B15" s="252" t="s">
        <v>302</v>
      </c>
      <c r="C15" s="250" t="s">
        <v>587</v>
      </c>
      <c r="D15" s="250"/>
      <c r="E15" s="250"/>
      <c r="H15" s="255">
        <v>13</v>
      </c>
      <c r="I15" s="249"/>
      <c r="L15" s="250"/>
      <c r="M15" s="250"/>
      <c r="N15" s="250"/>
      <c r="O15" s="2"/>
      <c r="P15" s="2"/>
    </row>
    <row r="16" spans="2:16" ht="21">
      <c r="B16" s="252" t="s">
        <v>303</v>
      </c>
      <c r="C16" s="250" t="s">
        <v>578</v>
      </c>
      <c r="D16" s="250"/>
      <c r="E16" s="250"/>
      <c r="H16" s="255">
        <v>14</v>
      </c>
      <c r="I16" s="249"/>
      <c r="L16" s="250"/>
      <c r="M16" s="250"/>
      <c r="N16" s="250"/>
      <c r="O16" s="2"/>
      <c r="P16" s="55"/>
    </row>
    <row r="17" spans="2:14" s="55" customFormat="1" ht="21">
      <c r="B17" s="252" t="s">
        <v>605</v>
      </c>
      <c r="C17" s="250" t="s">
        <v>579</v>
      </c>
      <c r="D17" s="250"/>
      <c r="E17" s="250"/>
      <c r="F17" s="2"/>
      <c r="G17" s="2"/>
      <c r="H17" s="255">
        <v>15</v>
      </c>
      <c r="I17" s="761"/>
      <c r="L17" s="760"/>
      <c r="M17" s="760"/>
      <c r="N17" s="760"/>
    </row>
    <row r="18" spans="2:14" ht="21">
      <c r="B18" s="252" t="s">
        <v>304</v>
      </c>
      <c r="C18" s="250" t="s">
        <v>520</v>
      </c>
      <c r="D18" s="250"/>
      <c r="E18" s="250"/>
      <c r="H18" s="255">
        <v>16</v>
      </c>
      <c r="I18" s="249"/>
    </row>
    <row r="19" spans="2:14" s="55" customFormat="1" ht="21">
      <c r="B19" s="252" t="s">
        <v>305</v>
      </c>
      <c r="C19" s="250" t="s">
        <v>580</v>
      </c>
      <c r="D19" s="250"/>
      <c r="E19" s="250"/>
      <c r="F19"/>
      <c r="G19"/>
      <c r="H19" s="255">
        <v>17</v>
      </c>
      <c r="I19" s="761"/>
    </row>
    <row r="20" spans="2:14" s="55" customFormat="1" ht="21">
      <c r="B20" s="759"/>
      <c r="C20" s="961" t="s">
        <v>521</v>
      </c>
      <c r="D20" s="961"/>
      <c r="E20" s="961"/>
      <c r="F20" s="962"/>
      <c r="G20" s="962"/>
      <c r="H20" s="963">
        <v>35</v>
      </c>
      <c r="I20" s="761"/>
    </row>
    <row r="21" spans="2:14" s="55" customFormat="1" ht="21">
      <c r="B21" s="759"/>
      <c r="C21" s="961" t="s">
        <v>320</v>
      </c>
      <c r="D21" s="961"/>
      <c r="E21" s="961"/>
      <c r="F21" s="962"/>
      <c r="G21" s="962"/>
      <c r="H21" s="963">
        <v>36</v>
      </c>
      <c r="I21" s="761"/>
    </row>
    <row r="22" spans="2:14" ht="21">
      <c r="B22" s="252"/>
      <c r="C22" s="961" t="s">
        <v>321</v>
      </c>
      <c r="D22" s="961"/>
      <c r="E22" s="961"/>
      <c r="F22" s="962"/>
      <c r="G22" s="962"/>
      <c r="H22" s="963">
        <v>37</v>
      </c>
      <c r="I22" s="249"/>
    </row>
    <row r="23" spans="2:14" ht="21">
      <c r="B23" s="252"/>
      <c r="C23" s="961" t="s">
        <v>319</v>
      </c>
      <c r="D23" s="961"/>
      <c r="E23" s="961"/>
      <c r="F23" s="962"/>
      <c r="G23" s="962"/>
      <c r="H23" s="963">
        <v>38</v>
      </c>
      <c r="I23" s="249"/>
    </row>
    <row r="24" spans="2:14" ht="21">
      <c r="B24" s="252"/>
      <c r="C24" s="250"/>
      <c r="D24" s="250"/>
      <c r="E24" s="250"/>
      <c r="I24" s="249"/>
    </row>
    <row r="25" spans="2:14" ht="21">
      <c r="B25" s="252"/>
      <c r="C25" s="250"/>
      <c r="D25" s="250"/>
      <c r="E25" s="250"/>
      <c r="I25" s="249"/>
    </row>
    <row r="26" spans="2:14" ht="21">
      <c r="B26" s="252"/>
      <c r="C26" s="250"/>
      <c r="D26" s="250"/>
      <c r="E26" s="250"/>
      <c r="I26" s="249"/>
    </row>
    <row r="27" spans="2:14" s="55" customFormat="1" ht="21">
      <c r="B27" s="759"/>
      <c r="C27" s="250"/>
      <c r="D27" s="250"/>
      <c r="E27" s="250"/>
      <c r="F27"/>
      <c r="G27"/>
      <c r="H27" s="254"/>
      <c r="I27" s="761"/>
    </row>
    <row r="28" spans="2:14" s="55" customFormat="1" ht="21">
      <c r="B28" s="759"/>
      <c r="C28"/>
      <c r="D28"/>
      <c r="E28"/>
      <c r="F28"/>
      <c r="G28"/>
      <c r="H28" s="254"/>
      <c r="I28" s="761"/>
    </row>
    <row r="29" spans="2:14" s="55" customFormat="1" ht="21">
      <c r="B29" s="759"/>
      <c r="C29"/>
      <c r="D29"/>
      <c r="E29"/>
      <c r="F29"/>
      <c r="G29"/>
      <c r="H29" s="254"/>
      <c r="I29" s="761"/>
    </row>
    <row r="30" spans="2:14" s="55" customFormat="1" ht="21">
      <c r="B30" s="759"/>
      <c r="C30"/>
      <c r="D30"/>
      <c r="E30"/>
      <c r="F30"/>
      <c r="G30"/>
      <c r="H30" s="254"/>
      <c r="I30" s="761"/>
    </row>
    <row r="31" spans="2:14" s="55" customFormat="1" ht="21">
      <c r="B31" s="759"/>
      <c r="C31"/>
      <c r="D31"/>
      <c r="E31"/>
      <c r="F31"/>
      <c r="G31"/>
      <c r="H31" s="254"/>
      <c r="I31" s="761"/>
    </row>
    <row r="32" spans="2:14" s="55" customFormat="1" ht="21">
      <c r="B32" s="759"/>
      <c r="C32"/>
      <c r="D32"/>
      <c r="E32"/>
      <c r="F32"/>
      <c r="G32"/>
      <c r="H32" s="254"/>
      <c r="I32" s="761"/>
    </row>
    <row r="33" spans="2:2" ht="21">
      <c r="B33" s="252"/>
    </row>
    <row r="34" spans="2:2" ht="21">
      <c r="B34" s="252"/>
    </row>
    <row r="35" spans="2:2" ht="21">
      <c r="B35" s="252"/>
    </row>
    <row r="36" spans="2:2" ht="21">
      <c r="B36" s="251"/>
    </row>
    <row r="37" spans="2:2" ht="21">
      <c r="B37" s="251"/>
    </row>
    <row r="38" spans="2:2" ht="21">
      <c r="B38" s="251"/>
    </row>
    <row r="39" spans="2:2" ht="21">
      <c r="B39" s="251"/>
    </row>
  </sheetData>
  <mergeCells count="2">
    <mergeCell ref="B1:H1"/>
    <mergeCell ref="D4:G4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&amp;R1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14B0"/>
    <pageSetUpPr fitToPage="1"/>
  </sheetPr>
  <dimension ref="A1:BF1048142"/>
  <sheetViews>
    <sheetView showGridLines="0" topLeftCell="B1" zoomScaleSheetLayoutView="73" workbookViewId="0">
      <selection activeCell="P27" sqref="P27"/>
    </sheetView>
  </sheetViews>
  <sheetFormatPr defaultRowHeight="12.75"/>
  <cols>
    <col min="1" max="2" width="7.140625" customWidth="1"/>
    <col min="3" max="3" width="4.7109375" bestFit="1" customWidth="1"/>
    <col min="4" max="4" width="5.28515625" bestFit="1" customWidth="1"/>
    <col min="5" max="5" width="5.28515625" customWidth="1"/>
    <col min="6" max="6" width="6.5703125" bestFit="1" customWidth="1"/>
    <col min="7" max="7" width="5.85546875" bestFit="1" customWidth="1"/>
    <col min="8" max="8" width="5.28515625" bestFit="1" customWidth="1"/>
    <col min="9" max="9" width="4.7109375" bestFit="1" customWidth="1"/>
    <col min="10" max="10" width="5.28515625" bestFit="1" customWidth="1"/>
    <col min="11" max="12" width="5.28515625" customWidth="1"/>
    <col min="13" max="13" width="4.7109375" bestFit="1" customWidth="1"/>
    <col min="14" max="14" width="5.28515625" bestFit="1" customWidth="1"/>
    <col min="15" max="15" width="5.5703125" customWidth="1"/>
    <col min="16" max="16" width="5.85546875" bestFit="1" customWidth="1"/>
    <col min="17" max="17" width="4.7109375" bestFit="1" customWidth="1"/>
    <col min="18" max="18" width="5.28515625" bestFit="1" customWidth="1"/>
    <col min="19" max="19" width="5.85546875" bestFit="1" customWidth="1"/>
    <col min="20" max="20" width="5.28515625" bestFit="1" customWidth="1"/>
    <col min="21" max="21" width="4.7109375" bestFit="1" customWidth="1"/>
    <col min="22" max="22" width="5.28515625" bestFit="1" customWidth="1"/>
    <col min="23" max="23" width="5.5703125" customWidth="1"/>
    <col min="24" max="24" width="5.28515625" bestFit="1" customWidth="1"/>
    <col min="25" max="25" width="4.7109375" bestFit="1" customWidth="1"/>
    <col min="26" max="26" width="6.5703125" bestFit="1" customWidth="1"/>
    <col min="27" max="27" width="4.7109375" bestFit="1" customWidth="1"/>
    <col min="28" max="28" width="5.28515625" bestFit="1" customWidth="1"/>
    <col min="29" max="29" width="4.7109375" bestFit="1" customWidth="1"/>
    <col min="30" max="30" width="6.5703125" bestFit="1" customWidth="1"/>
    <col min="31" max="31" width="4.7109375" bestFit="1" customWidth="1"/>
    <col min="32" max="32" width="6.5703125" bestFit="1" customWidth="1"/>
    <col min="33" max="33" width="4.7109375" bestFit="1" customWidth="1"/>
    <col min="34" max="34" width="6.5703125" bestFit="1" customWidth="1"/>
    <col min="35" max="35" width="5.42578125" bestFit="1" customWidth="1"/>
    <col min="36" max="36" width="5" customWidth="1"/>
  </cols>
  <sheetData>
    <row r="1" spans="1:36">
      <c r="A1" s="1277" t="s">
        <v>131</v>
      </c>
      <c r="B1" s="1277"/>
      <c r="C1" s="1277"/>
      <c r="D1" s="1277"/>
      <c r="E1" s="1277"/>
      <c r="F1" s="1277"/>
      <c r="G1" s="1277"/>
      <c r="H1" s="1277"/>
      <c r="I1" s="1277"/>
      <c r="J1" s="1277"/>
      <c r="K1" s="1277"/>
      <c r="L1" s="1277"/>
      <c r="M1" s="1277"/>
      <c r="N1" s="1277"/>
      <c r="O1" s="1277"/>
      <c r="P1" s="1277"/>
      <c r="Q1" s="1277"/>
      <c r="R1" s="1277"/>
      <c r="S1" s="1277"/>
      <c r="T1" s="1277"/>
      <c r="U1" s="1277"/>
      <c r="V1" s="1277"/>
      <c r="W1" s="1277"/>
      <c r="X1" s="1277"/>
      <c r="Y1" s="1277"/>
      <c r="Z1" s="1277"/>
      <c r="AA1" s="1277"/>
      <c r="AB1" s="1277"/>
      <c r="AC1" s="1277"/>
      <c r="AD1" s="1277"/>
      <c r="AE1" s="1277"/>
      <c r="AF1" s="1277"/>
      <c r="AG1" s="1277"/>
      <c r="AH1" s="1277"/>
      <c r="AI1" s="1277"/>
      <c r="AJ1" s="1277"/>
    </row>
    <row r="2" spans="1:36">
      <c r="A2" s="1277"/>
      <c r="B2" s="1277"/>
      <c r="C2" s="1277"/>
      <c r="D2" s="1277"/>
      <c r="E2" s="1277"/>
      <c r="F2" s="1277"/>
      <c r="G2" s="1277"/>
      <c r="H2" s="1277"/>
      <c r="I2" s="1277"/>
      <c r="J2" s="1277"/>
      <c r="K2" s="1277"/>
      <c r="L2" s="1277"/>
      <c r="M2" s="1277"/>
      <c r="N2" s="1277"/>
      <c r="O2" s="1277"/>
      <c r="P2" s="1277"/>
      <c r="Q2" s="1277"/>
      <c r="R2" s="1277"/>
      <c r="S2" s="1277"/>
      <c r="T2" s="1277"/>
      <c r="U2" s="1277"/>
      <c r="V2" s="1277"/>
      <c r="W2" s="1277"/>
      <c r="X2" s="1277"/>
      <c r="Y2" s="1277"/>
      <c r="Z2" s="1277"/>
      <c r="AA2" s="1277"/>
      <c r="AB2" s="1277"/>
      <c r="AC2" s="1277"/>
      <c r="AD2" s="1277"/>
      <c r="AE2" s="1277"/>
      <c r="AF2" s="1277"/>
      <c r="AG2" s="1277"/>
      <c r="AH2" s="1277"/>
      <c r="AI2" s="1277"/>
      <c r="AJ2" s="1277"/>
    </row>
    <row r="3" spans="1:36" ht="12.75" customHeight="1">
      <c r="A3" s="1277" t="s">
        <v>489</v>
      </c>
      <c r="B3" s="1277"/>
      <c r="C3" s="1277"/>
      <c r="D3" s="1277"/>
      <c r="E3" s="1277"/>
      <c r="F3" s="1277"/>
      <c r="G3" s="1277"/>
      <c r="H3" s="1277"/>
      <c r="I3" s="1277"/>
      <c r="J3" s="1277"/>
      <c r="K3" s="1277"/>
      <c r="L3" s="1277"/>
      <c r="M3" s="1277"/>
      <c r="N3" s="1277"/>
      <c r="O3" s="1277"/>
      <c r="P3" s="1277"/>
      <c r="Q3" s="1277"/>
      <c r="R3" s="1277"/>
      <c r="S3" s="1277"/>
      <c r="T3" s="1277"/>
      <c r="U3" s="1277"/>
      <c r="V3" s="1277"/>
      <c r="W3" s="1277"/>
      <c r="X3" s="1277"/>
      <c r="Y3" s="1277"/>
      <c r="Z3" s="1277"/>
      <c r="AA3" s="1277"/>
      <c r="AB3" s="1277"/>
      <c r="AC3" s="1277"/>
      <c r="AD3" s="1277"/>
      <c r="AE3" s="1277"/>
      <c r="AF3" s="1277"/>
      <c r="AG3" s="1277"/>
      <c r="AH3" s="1277"/>
      <c r="AI3" s="1277"/>
      <c r="AJ3" s="1277"/>
    </row>
    <row r="4" spans="1:36" ht="12.75" customHeight="1">
      <c r="A4" s="1277"/>
      <c r="B4" s="1277"/>
      <c r="C4" s="1277"/>
      <c r="D4" s="1277"/>
      <c r="E4" s="1277"/>
      <c r="F4" s="1277"/>
      <c r="G4" s="1277"/>
      <c r="H4" s="1277"/>
      <c r="I4" s="1277"/>
      <c r="J4" s="1277"/>
      <c r="K4" s="1277"/>
      <c r="L4" s="1277"/>
      <c r="M4" s="1277"/>
      <c r="N4" s="1277"/>
      <c r="O4" s="1277"/>
      <c r="P4" s="1277"/>
      <c r="Q4" s="1277"/>
      <c r="R4" s="1277"/>
      <c r="S4" s="1277"/>
      <c r="T4" s="1277"/>
      <c r="U4" s="1277"/>
      <c r="V4" s="1277"/>
      <c r="W4" s="1277"/>
      <c r="X4" s="1277"/>
      <c r="Y4" s="1277"/>
      <c r="Z4" s="1277"/>
      <c r="AA4" s="1277"/>
      <c r="AB4" s="1277"/>
      <c r="AC4" s="1277"/>
      <c r="AD4" s="1277"/>
      <c r="AE4" s="1277"/>
      <c r="AF4" s="1277"/>
      <c r="AG4" s="1277"/>
      <c r="AH4" s="1277"/>
      <c r="AI4" s="1277"/>
      <c r="AJ4" s="1277"/>
    </row>
    <row r="6" spans="1:36" ht="13.5" thickBot="1"/>
    <row r="7" spans="1:36" ht="15.75" customHeight="1" thickBot="1">
      <c r="A7" s="1240" t="s">
        <v>128</v>
      </c>
      <c r="B7" s="105" t="s">
        <v>7</v>
      </c>
      <c r="C7" s="1279" t="s">
        <v>25</v>
      </c>
      <c r="D7" s="1289" t="s">
        <v>25</v>
      </c>
      <c r="E7" s="1347" t="s">
        <v>608</v>
      </c>
      <c r="F7" s="1348"/>
      <c r="G7" s="1290" t="s">
        <v>493</v>
      </c>
      <c r="H7" s="1289"/>
      <c r="I7" s="1290" t="s">
        <v>494</v>
      </c>
      <c r="J7" s="1289"/>
      <c r="K7" s="1290" t="s">
        <v>495</v>
      </c>
      <c r="L7" s="1289"/>
      <c r="M7" s="1367" t="s">
        <v>43</v>
      </c>
      <c r="N7" s="1368"/>
      <c r="O7" s="1367" t="s">
        <v>42</v>
      </c>
      <c r="P7" s="1368"/>
      <c r="Q7" s="1367" t="s">
        <v>23</v>
      </c>
      <c r="R7" s="1368"/>
      <c r="S7" s="1367" t="s">
        <v>120</v>
      </c>
      <c r="T7" s="1368"/>
      <c r="U7" s="1367" t="s">
        <v>41</v>
      </c>
      <c r="V7" s="1368"/>
      <c r="W7" s="1367" t="s">
        <v>129</v>
      </c>
      <c r="X7" s="1368"/>
      <c r="Y7" s="1367" t="s">
        <v>488</v>
      </c>
      <c r="Z7" s="1368"/>
      <c r="AA7" s="1367" t="s">
        <v>122</v>
      </c>
      <c r="AB7" s="1368"/>
      <c r="AC7" s="1278" t="s">
        <v>80</v>
      </c>
      <c r="AD7" s="1279"/>
      <c r="AE7" s="1278" t="s">
        <v>20</v>
      </c>
      <c r="AF7" s="1279"/>
      <c r="AG7" s="1278" t="s">
        <v>21</v>
      </c>
      <c r="AH7" s="1374"/>
      <c r="AI7" s="1372"/>
      <c r="AJ7" s="1373"/>
    </row>
    <row r="8" spans="1:36" ht="15.75" customHeight="1">
      <c r="A8" s="1241"/>
      <c r="B8" s="106" t="s">
        <v>19</v>
      </c>
      <c r="C8" s="85" t="s">
        <v>18</v>
      </c>
      <c r="D8" s="85" t="s">
        <v>17</v>
      </c>
      <c r="E8" s="85" t="s">
        <v>18</v>
      </c>
      <c r="F8" s="85" t="s">
        <v>17</v>
      </c>
      <c r="G8" s="85" t="s">
        <v>18</v>
      </c>
      <c r="H8" s="85" t="s">
        <v>17</v>
      </c>
      <c r="I8" s="85" t="s">
        <v>18</v>
      </c>
      <c r="J8" s="85" t="s">
        <v>17</v>
      </c>
      <c r="K8" s="85" t="s">
        <v>18</v>
      </c>
      <c r="L8" s="85" t="s">
        <v>17</v>
      </c>
      <c r="M8" s="85" t="s">
        <v>18</v>
      </c>
      <c r="N8" s="85" t="s">
        <v>17</v>
      </c>
      <c r="O8" s="85" t="s">
        <v>18</v>
      </c>
      <c r="P8" s="85" t="s">
        <v>17</v>
      </c>
      <c r="Q8" s="85" t="s">
        <v>18</v>
      </c>
      <c r="R8" s="85" t="s">
        <v>17</v>
      </c>
      <c r="S8" s="85" t="s">
        <v>18</v>
      </c>
      <c r="T8" s="85" t="s">
        <v>17</v>
      </c>
      <c r="U8" s="85" t="s">
        <v>18</v>
      </c>
      <c r="V8" s="85" t="s">
        <v>17</v>
      </c>
      <c r="W8" s="85" t="s">
        <v>18</v>
      </c>
      <c r="X8" s="85" t="s">
        <v>17</v>
      </c>
      <c r="Y8" s="85" t="s">
        <v>18</v>
      </c>
      <c r="Z8" s="85" t="s">
        <v>17</v>
      </c>
      <c r="AA8" s="85" t="s">
        <v>18</v>
      </c>
      <c r="AB8" s="85" t="s">
        <v>17</v>
      </c>
      <c r="AC8" s="85" t="s">
        <v>18</v>
      </c>
      <c r="AD8" s="85" t="s">
        <v>17</v>
      </c>
      <c r="AE8" s="85" t="s">
        <v>18</v>
      </c>
      <c r="AF8" s="85" t="s">
        <v>17</v>
      </c>
      <c r="AG8" s="85" t="s">
        <v>18</v>
      </c>
      <c r="AH8" s="778" t="s">
        <v>17</v>
      </c>
      <c r="AI8" s="260"/>
      <c r="AJ8" s="260"/>
    </row>
    <row r="9" spans="1:36" ht="15" customHeight="1" thickBot="1">
      <c r="A9" s="1242"/>
      <c r="B9" s="107" t="s">
        <v>16</v>
      </c>
      <c r="C9" s="90" t="s">
        <v>323</v>
      </c>
      <c r="D9" s="90" t="s">
        <v>324</v>
      </c>
      <c r="E9" s="90" t="s">
        <v>323</v>
      </c>
      <c r="F9" s="90" t="s">
        <v>324</v>
      </c>
      <c r="G9" s="90" t="s">
        <v>323</v>
      </c>
      <c r="H9" s="90" t="s">
        <v>324</v>
      </c>
      <c r="I9" s="90" t="s">
        <v>323</v>
      </c>
      <c r="J9" s="90" t="s">
        <v>324</v>
      </c>
      <c r="K9" s="90" t="s">
        <v>323</v>
      </c>
      <c r="L9" s="90" t="s">
        <v>324</v>
      </c>
      <c r="M9" s="90" t="s">
        <v>323</v>
      </c>
      <c r="N9" s="90" t="s">
        <v>324</v>
      </c>
      <c r="O9" s="90" t="s">
        <v>323</v>
      </c>
      <c r="P9" s="90" t="s">
        <v>324</v>
      </c>
      <c r="Q9" s="90" t="s">
        <v>323</v>
      </c>
      <c r="R9" s="90" t="s">
        <v>324</v>
      </c>
      <c r="S9" s="90" t="s">
        <v>323</v>
      </c>
      <c r="T9" s="90" t="s">
        <v>324</v>
      </c>
      <c r="U9" s="90" t="s">
        <v>323</v>
      </c>
      <c r="V9" s="90" t="s">
        <v>324</v>
      </c>
      <c r="W9" s="90" t="s">
        <v>323</v>
      </c>
      <c r="X9" s="90" t="s">
        <v>324</v>
      </c>
      <c r="Y9" s="90" t="s">
        <v>323</v>
      </c>
      <c r="Z9" s="90" t="s">
        <v>324</v>
      </c>
      <c r="AA9" s="90" t="s">
        <v>323</v>
      </c>
      <c r="AB9" s="90" t="s">
        <v>324</v>
      </c>
      <c r="AC9" s="90" t="s">
        <v>323</v>
      </c>
      <c r="AD9" s="90" t="s">
        <v>324</v>
      </c>
      <c r="AE9" s="90" t="s">
        <v>323</v>
      </c>
      <c r="AF9" s="90" t="s">
        <v>324</v>
      </c>
      <c r="AG9" s="90" t="s">
        <v>323</v>
      </c>
      <c r="AH9" s="779" t="s">
        <v>324</v>
      </c>
      <c r="AI9" s="260"/>
      <c r="AJ9" s="260"/>
    </row>
    <row r="10" spans="1:36" ht="15.75" thickBot="1">
      <c r="A10" s="88">
        <v>1</v>
      </c>
      <c r="B10" s="1016">
        <v>18</v>
      </c>
      <c r="C10" s="93">
        <v>11</v>
      </c>
      <c r="D10" s="94">
        <f>(C10/B10)</f>
        <v>0.61111111111111116</v>
      </c>
      <c r="E10" s="809"/>
      <c r="F10" s="809"/>
      <c r="G10" s="93">
        <v>14</v>
      </c>
      <c r="H10" s="94">
        <f t="shared" ref="H10:H15" si="0">(G10/B10)</f>
        <v>0.77777777777777779</v>
      </c>
      <c r="I10" s="806">
        <v>16</v>
      </c>
      <c r="J10" s="807">
        <f>(I10/B10)</f>
        <v>0.88888888888888884</v>
      </c>
      <c r="K10" s="817"/>
      <c r="L10" s="818"/>
      <c r="M10" s="93">
        <v>18</v>
      </c>
      <c r="N10" s="94">
        <f>(M10/B10)</f>
        <v>1</v>
      </c>
      <c r="O10" s="93">
        <v>9</v>
      </c>
      <c r="P10" s="94">
        <f>(O10/B10)</f>
        <v>0.5</v>
      </c>
      <c r="Q10" s="93">
        <v>12</v>
      </c>
      <c r="R10" s="94">
        <f>(Q10/B10)</f>
        <v>0.66666666666666663</v>
      </c>
      <c r="S10" s="93">
        <v>14</v>
      </c>
      <c r="T10" s="94">
        <f>(S10/B10)</f>
        <v>0.77777777777777779</v>
      </c>
      <c r="U10" s="93">
        <v>16</v>
      </c>
      <c r="V10" s="94">
        <f>(U10/B10)</f>
        <v>0.88888888888888884</v>
      </c>
      <c r="W10" s="93">
        <v>16</v>
      </c>
      <c r="X10" s="94">
        <f>(W10/B10)</f>
        <v>0.88888888888888884</v>
      </c>
      <c r="Y10" s="93">
        <v>18</v>
      </c>
      <c r="Z10" s="94">
        <f>(Y10/B10)</f>
        <v>1</v>
      </c>
      <c r="AA10" s="93">
        <v>18</v>
      </c>
      <c r="AB10" s="94">
        <f>(AA10/B10)</f>
        <v>1</v>
      </c>
      <c r="AC10" s="93">
        <v>18</v>
      </c>
      <c r="AD10" s="94">
        <f t="shared" ref="AD10:AD15" si="1">(AC10/B10)</f>
        <v>1</v>
      </c>
      <c r="AE10" s="93">
        <v>3</v>
      </c>
      <c r="AF10" s="94">
        <f>AE10/3</f>
        <v>1</v>
      </c>
      <c r="AG10" s="93">
        <v>18</v>
      </c>
      <c r="AH10" s="780">
        <f>AG10/B10</f>
        <v>1</v>
      </c>
      <c r="AI10" s="260"/>
      <c r="AJ10" s="261"/>
    </row>
    <row r="11" spans="1:36" ht="15.75" thickBot="1">
      <c r="A11" s="88">
        <v>2</v>
      </c>
      <c r="B11" s="1017">
        <v>17</v>
      </c>
      <c r="C11" s="93">
        <v>11</v>
      </c>
      <c r="D11" s="94">
        <f>(C11/B11)</f>
        <v>0.6470588235294118</v>
      </c>
      <c r="E11" s="809"/>
      <c r="F11" s="809"/>
      <c r="G11" s="93">
        <v>10</v>
      </c>
      <c r="H11" s="94">
        <f t="shared" si="0"/>
        <v>0.58823529411764708</v>
      </c>
      <c r="I11" s="817"/>
      <c r="J11" s="818"/>
      <c r="K11" s="806">
        <v>13</v>
      </c>
      <c r="L11" s="807">
        <f>K11/B11</f>
        <v>0.76470588235294112</v>
      </c>
      <c r="M11" s="93">
        <v>13</v>
      </c>
      <c r="N11" s="94">
        <f>(M11/B11)</f>
        <v>0.76470588235294112</v>
      </c>
      <c r="O11" s="93">
        <v>12</v>
      </c>
      <c r="P11" s="94">
        <f>(O11/B11)</f>
        <v>0.70588235294117652</v>
      </c>
      <c r="Q11" s="93">
        <v>12</v>
      </c>
      <c r="R11" s="94">
        <f>(Q11/B11)</f>
        <v>0.70588235294117652</v>
      </c>
      <c r="S11" s="93">
        <v>16</v>
      </c>
      <c r="T11" s="94">
        <f>(S11/B11)</f>
        <v>0.94117647058823528</v>
      </c>
      <c r="U11" s="93">
        <v>15</v>
      </c>
      <c r="V11" s="94">
        <f>(U11/B11)</f>
        <v>0.88235294117647056</v>
      </c>
      <c r="W11" s="93">
        <v>15</v>
      </c>
      <c r="X11" s="94">
        <f>(W11/B11)</f>
        <v>0.88235294117647056</v>
      </c>
      <c r="Y11" s="93">
        <v>17</v>
      </c>
      <c r="Z11" s="94">
        <f>(Y11/B11)</f>
        <v>1</v>
      </c>
      <c r="AA11" s="93">
        <v>17</v>
      </c>
      <c r="AB11" s="94">
        <f>(AA11/B11)</f>
        <v>1</v>
      </c>
      <c r="AC11" s="93">
        <v>17</v>
      </c>
      <c r="AD11" s="94">
        <f t="shared" si="1"/>
        <v>1</v>
      </c>
      <c r="AE11" s="808"/>
      <c r="AF11" s="809"/>
      <c r="AG11" s="93">
        <v>17</v>
      </c>
      <c r="AH11" s="780">
        <f t="shared" ref="AH11:AH14" si="2">AG11/B11</f>
        <v>1</v>
      </c>
      <c r="AI11" s="260"/>
      <c r="AJ11" s="261"/>
    </row>
    <row r="12" spans="1:36" ht="15.75" thickBot="1">
      <c r="A12" s="88">
        <v>3</v>
      </c>
      <c r="B12" s="1017">
        <v>28</v>
      </c>
      <c r="C12" s="93">
        <v>16</v>
      </c>
      <c r="D12" s="94">
        <f>(C12/(B12-6))</f>
        <v>0.72727272727272729</v>
      </c>
      <c r="E12" s="93">
        <v>6</v>
      </c>
      <c r="F12" s="94">
        <f>E12/6</f>
        <v>1</v>
      </c>
      <c r="G12" s="93">
        <v>17</v>
      </c>
      <c r="H12" s="94">
        <f t="shared" si="0"/>
        <v>0.6071428571428571</v>
      </c>
      <c r="I12" s="806">
        <v>8</v>
      </c>
      <c r="J12" s="807">
        <f>I12/10</f>
        <v>0.8</v>
      </c>
      <c r="K12" s="806">
        <v>12</v>
      </c>
      <c r="L12" s="807">
        <f>K12/18</f>
        <v>0.66666666666666663</v>
      </c>
      <c r="M12" s="93">
        <v>22</v>
      </c>
      <c r="N12" s="94">
        <f>(M12/B12)</f>
        <v>0.7857142857142857</v>
      </c>
      <c r="O12" s="93">
        <v>20</v>
      </c>
      <c r="P12" s="94">
        <f>(O12/B12)</f>
        <v>0.7142857142857143</v>
      </c>
      <c r="Q12" s="93">
        <v>14</v>
      </c>
      <c r="R12" s="94">
        <f>(Q12/B12)</f>
        <v>0.5</v>
      </c>
      <c r="S12" s="93">
        <v>24</v>
      </c>
      <c r="T12" s="94">
        <f>(S12/B12)</f>
        <v>0.8571428571428571</v>
      </c>
      <c r="U12" s="93">
        <v>18</v>
      </c>
      <c r="V12" s="94">
        <f>(U12/B12)</f>
        <v>0.6428571428571429</v>
      </c>
      <c r="W12" s="93">
        <v>21</v>
      </c>
      <c r="X12" s="94">
        <f>(W12/B12)</f>
        <v>0.75</v>
      </c>
      <c r="Y12" s="93">
        <v>28</v>
      </c>
      <c r="Z12" s="94">
        <f>(Y12/B12)</f>
        <v>1</v>
      </c>
      <c r="AA12" s="93">
        <v>25</v>
      </c>
      <c r="AB12" s="94">
        <f>(AA12/B12)</f>
        <v>0.8928571428571429</v>
      </c>
      <c r="AC12" s="806">
        <v>28</v>
      </c>
      <c r="AD12" s="807">
        <f t="shared" si="1"/>
        <v>1</v>
      </c>
      <c r="AE12" s="93">
        <v>4</v>
      </c>
      <c r="AF12" s="94">
        <f>AE12/4</f>
        <v>1</v>
      </c>
      <c r="AG12" s="93">
        <v>24</v>
      </c>
      <c r="AH12" s="780">
        <f t="shared" si="2"/>
        <v>0.8571428571428571</v>
      </c>
      <c r="AI12" s="260"/>
      <c r="AJ12" s="261"/>
    </row>
    <row r="13" spans="1:36" ht="15.75" thickBot="1">
      <c r="A13" s="88">
        <v>4</v>
      </c>
      <c r="B13" s="1016">
        <v>23</v>
      </c>
      <c r="C13" s="93">
        <v>20</v>
      </c>
      <c r="D13" s="94">
        <f>(C13/B13)</f>
        <v>0.86956521739130432</v>
      </c>
      <c r="E13" s="809"/>
      <c r="F13" s="809"/>
      <c r="G13" s="93">
        <v>19</v>
      </c>
      <c r="H13" s="94">
        <f t="shared" si="0"/>
        <v>0.82608695652173914</v>
      </c>
      <c r="I13" s="817"/>
      <c r="J13" s="818"/>
      <c r="K13" s="806">
        <v>22</v>
      </c>
      <c r="L13" s="807">
        <f>(K13/B13)</f>
        <v>0.95652173913043481</v>
      </c>
      <c r="M13" s="93">
        <v>21</v>
      </c>
      <c r="N13" s="94">
        <f>(M13/B13)</f>
        <v>0.91304347826086951</v>
      </c>
      <c r="O13" s="93">
        <v>19</v>
      </c>
      <c r="P13" s="94">
        <f>(O13/B13)</f>
        <v>0.82608695652173914</v>
      </c>
      <c r="Q13" s="93">
        <v>13</v>
      </c>
      <c r="R13" s="94">
        <f>(Q13/B13)</f>
        <v>0.56521739130434778</v>
      </c>
      <c r="S13" s="93">
        <v>22</v>
      </c>
      <c r="T13" s="94">
        <f>(S13/B13)</f>
        <v>0.95652173913043481</v>
      </c>
      <c r="U13" s="93">
        <v>22</v>
      </c>
      <c r="V13" s="94">
        <f>(U13/B13)</f>
        <v>0.95652173913043481</v>
      </c>
      <c r="W13" s="93">
        <v>22</v>
      </c>
      <c r="X13" s="94">
        <f>(W13/B13)</f>
        <v>0.95652173913043481</v>
      </c>
      <c r="Y13" s="195">
        <v>23</v>
      </c>
      <c r="Z13" s="196">
        <f>(Y13/B13)</f>
        <v>1</v>
      </c>
      <c r="AA13" s="93">
        <v>23</v>
      </c>
      <c r="AB13" s="94">
        <f>(AA13/B13)</f>
        <v>1</v>
      </c>
      <c r="AC13" s="93">
        <v>23</v>
      </c>
      <c r="AD13" s="94">
        <f t="shared" si="1"/>
        <v>1</v>
      </c>
      <c r="AE13" s="93">
        <v>2</v>
      </c>
      <c r="AF13" s="94">
        <f>AE13/2</f>
        <v>1</v>
      </c>
      <c r="AG13" s="195">
        <v>23</v>
      </c>
      <c r="AH13" s="780">
        <f t="shared" si="2"/>
        <v>1</v>
      </c>
      <c r="AI13" s="260"/>
      <c r="AJ13" s="261"/>
    </row>
    <row r="14" spans="1:36" ht="15.75" thickBot="1">
      <c r="A14" s="88">
        <v>5</v>
      </c>
      <c r="B14" s="1017">
        <v>24</v>
      </c>
      <c r="C14" s="93">
        <v>17</v>
      </c>
      <c r="D14" s="94">
        <f>(C14/B14)</f>
        <v>0.70833333333333337</v>
      </c>
      <c r="E14" s="809"/>
      <c r="F14" s="809"/>
      <c r="G14" s="93">
        <v>18</v>
      </c>
      <c r="H14" s="94">
        <f t="shared" si="0"/>
        <v>0.75</v>
      </c>
      <c r="I14" s="806">
        <v>19</v>
      </c>
      <c r="J14" s="807">
        <f>(I14/B14)</f>
        <v>0.79166666666666663</v>
      </c>
      <c r="K14" s="817"/>
      <c r="L14" s="818"/>
      <c r="M14" s="93">
        <v>18</v>
      </c>
      <c r="N14" s="94">
        <f>(M14/B14)</f>
        <v>0.75</v>
      </c>
      <c r="O14" s="93">
        <v>14</v>
      </c>
      <c r="P14" s="94">
        <f>(O14/B14)</f>
        <v>0.58333333333333337</v>
      </c>
      <c r="Q14" s="93">
        <v>11</v>
      </c>
      <c r="R14" s="94">
        <f>(Q14/B14)</f>
        <v>0.45833333333333331</v>
      </c>
      <c r="S14" s="93">
        <v>20</v>
      </c>
      <c r="T14" s="94">
        <f>(S14/B14)</f>
        <v>0.83333333333333337</v>
      </c>
      <c r="U14" s="93">
        <v>20</v>
      </c>
      <c r="V14" s="94">
        <f>(U14/B14)</f>
        <v>0.83333333333333337</v>
      </c>
      <c r="W14" s="93">
        <v>22</v>
      </c>
      <c r="X14" s="94">
        <f>(W14/B14)</f>
        <v>0.91666666666666663</v>
      </c>
      <c r="Y14" s="195">
        <v>23</v>
      </c>
      <c r="Z14" s="196">
        <f>(Y14/B14)</f>
        <v>0.95833333333333337</v>
      </c>
      <c r="AA14" s="93">
        <v>19</v>
      </c>
      <c r="AB14" s="94">
        <f>(AA14/B14)</f>
        <v>0.79166666666666663</v>
      </c>
      <c r="AC14" s="93">
        <v>24</v>
      </c>
      <c r="AD14" s="94">
        <f t="shared" si="1"/>
        <v>1</v>
      </c>
      <c r="AE14" s="93">
        <v>5</v>
      </c>
      <c r="AF14" s="94">
        <f>AE14/5</f>
        <v>1</v>
      </c>
      <c r="AG14" s="93">
        <v>19</v>
      </c>
      <c r="AH14" s="780">
        <f t="shared" si="2"/>
        <v>0.79166666666666663</v>
      </c>
      <c r="AI14" s="260"/>
      <c r="AJ14" s="261"/>
    </row>
    <row r="15" spans="1:36" ht="17.25" thickBot="1">
      <c r="A15" s="86" t="s">
        <v>0</v>
      </c>
      <c r="B15" s="87">
        <f>SUM(B10:B14)</f>
        <v>110</v>
      </c>
      <c r="C15" s="87">
        <f>SUM(C10:C14)</f>
        <v>75</v>
      </c>
      <c r="D15" s="92">
        <f>(C15/(B15-6))</f>
        <v>0.72115384615384615</v>
      </c>
      <c r="E15" s="87">
        <f>SUM(E10:E14)</f>
        <v>6</v>
      </c>
      <c r="F15" s="92">
        <f>6/6</f>
        <v>1</v>
      </c>
      <c r="G15" s="87">
        <f>SUM(G10:G14)</f>
        <v>78</v>
      </c>
      <c r="H15" s="92">
        <f t="shared" si="0"/>
        <v>0.70909090909090911</v>
      </c>
      <c r="I15" s="87">
        <f>SUM(I10:I14)</f>
        <v>43</v>
      </c>
      <c r="J15" s="92">
        <f>I15/(B10+B14+10)</f>
        <v>0.82692307692307687</v>
      </c>
      <c r="K15" s="91">
        <f>SUM(K10:K14)</f>
        <v>47</v>
      </c>
      <c r="L15" s="92">
        <f>K15/(B11+18+B13)</f>
        <v>0.81034482758620685</v>
      </c>
      <c r="M15" s="87">
        <f>SUM(M10:M14)</f>
        <v>92</v>
      </c>
      <c r="N15" s="92">
        <f>(M15/(B15-1))</f>
        <v>0.84403669724770647</v>
      </c>
      <c r="O15" s="87">
        <f>SUM(O10:O14)</f>
        <v>74</v>
      </c>
      <c r="P15" s="92">
        <f>(O15/(B15-1))</f>
        <v>0.67889908256880738</v>
      </c>
      <c r="Q15" s="87">
        <f>SUM(Q10:Q14)</f>
        <v>62</v>
      </c>
      <c r="R15" s="92">
        <f>(Q15/(B15-1))</f>
        <v>0.56880733944954132</v>
      </c>
      <c r="S15" s="87">
        <f>SUM(S10:S14)</f>
        <v>96</v>
      </c>
      <c r="T15" s="92">
        <f>(S15/(B15-1))</f>
        <v>0.88073394495412849</v>
      </c>
      <c r="U15" s="87">
        <f>SUM(U10:U14)</f>
        <v>91</v>
      </c>
      <c r="V15" s="92">
        <f>(U15/(B15-1))</f>
        <v>0.83486238532110091</v>
      </c>
      <c r="W15" s="87">
        <f>SUM(W10:W14)</f>
        <v>96</v>
      </c>
      <c r="X15" s="92">
        <f>(W15/(B15-1))</f>
        <v>0.88073394495412849</v>
      </c>
      <c r="Y15" s="87">
        <f>SUM(Y10:Y14)</f>
        <v>109</v>
      </c>
      <c r="Z15" s="92">
        <f>(Y15/(B15-1))</f>
        <v>1</v>
      </c>
      <c r="AA15" s="87">
        <f>SUM(AA10:AA14)</f>
        <v>102</v>
      </c>
      <c r="AB15" s="92">
        <f>(AA15/(B15-1))</f>
        <v>0.93577981651376152</v>
      </c>
      <c r="AC15" s="87">
        <f>SUM(AC10:AC14)</f>
        <v>110</v>
      </c>
      <c r="AD15" s="92">
        <f t="shared" si="1"/>
        <v>1</v>
      </c>
      <c r="AE15" s="87">
        <f>SUM(AE10:AE14)</f>
        <v>14</v>
      </c>
      <c r="AF15" s="92">
        <f>AE15/(3+4+2+5)</f>
        <v>1</v>
      </c>
      <c r="AG15" s="87">
        <f>SUM(AG10:AG14)</f>
        <v>101</v>
      </c>
      <c r="AH15" s="819">
        <f>AG15/B15</f>
        <v>0.91818181818181821</v>
      </c>
      <c r="AI15" s="262"/>
      <c r="AJ15" s="263"/>
    </row>
    <row r="16" spans="1:36" ht="14.25">
      <c r="A16" s="38" t="s">
        <v>15</v>
      </c>
      <c r="B16" s="36"/>
      <c r="C16" s="36"/>
      <c r="D16" s="38"/>
      <c r="E16" s="38"/>
      <c r="F16" s="38"/>
      <c r="G16" s="38"/>
      <c r="H16" s="38"/>
      <c r="I16" s="38"/>
      <c r="J16" s="38" t="s">
        <v>615</v>
      </c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9"/>
      <c r="AE16" s="39"/>
    </row>
    <row r="17" spans="1:36" ht="16.5" customHeight="1" thickBot="1">
      <c r="AC17" s="42"/>
      <c r="AE17" s="23"/>
    </row>
    <row r="18" spans="1:36" ht="40.5" customHeight="1" thickBot="1">
      <c r="A18" s="4"/>
      <c r="B18" s="26"/>
      <c r="J18" s="1206"/>
      <c r="K18" s="1362" t="s">
        <v>545</v>
      </c>
      <c r="L18" s="1363"/>
      <c r="M18" s="1364"/>
      <c r="N18" s="1362" t="s">
        <v>636</v>
      </c>
      <c r="O18" s="1363"/>
      <c r="P18" s="1364"/>
      <c r="Q18" s="1362" t="s">
        <v>549</v>
      </c>
      <c r="R18" s="1363"/>
      <c r="S18" s="1364"/>
      <c r="T18" s="1355" t="s">
        <v>547</v>
      </c>
      <c r="U18" s="1356"/>
      <c r="V18" s="1357"/>
      <c r="W18" s="1362" t="s">
        <v>548</v>
      </c>
      <c r="X18" s="1363"/>
      <c r="Y18" s="1364"/>
      <c r="Z18" s="1355" t="s">
        <v>283</v>
      </c>
      <c r="AA18" s="1356"/>
      <c r="AB18" s="1357"/>
      <c r="AC18" s="1355" t="s">
        <v>595</v>
      </c>
      <c r="AD18" s="1356"/>
      <c r="AE18" s="1357"/>
      <c r="AF18" s="4"/>
      <c r="AG18" s="4"/>
      <c r="AH18" s="42"/>
      <c r="AI18" s="4"/>
      <c r="AJ18" s="4"/>
    </row>
    <row r="19" spans="1:36" ht="15.75" customHeight="1">
      <c r="D19" s="4"/>
      <c r="E19" s="4"/>
      <c r="F19" s="4"/>
      <c r="G19" s="4"/>
      <c r="H19" s="4"/>
      <c r="I19" s="4"/>
      <c r="J19" s="1129"/>
      <c r="K19" s="1365" t="s">
        <v>546</v>
      </c>
      <c r="L19" s="1263"/>
      <c r="M19" s="1176" t="s">
        <v>147</v>
      </c>
      <c r="N19" s="1365" t="s">
        <v>546</v>
      </c>
      <c r="O19" s="1263"/>
      <c r="P19" s="793" t="s">
        <v>147</v>
      </c>
      <c r="Q19" s="1266" t="s">
        <v>546</v>
      </c>
      <c r="R19" s="1267"/>
      <c r="S19" s="794" t="s">
        <v>147</v>
      </c>
      <c r="T19" s="1266" t="s">
        <v>546</v>
      </c>
      <c r="U19" s="1267"/>
      <c r="V19" s="794" t="s">
        <v>147</v>
      </c>
      <c r="W19" s="1266" t="s">
        <v>546</v>
      </c>
      <c r="X19" s="1267"/>
      <c r="Y19" s="794" t="s">
        <v>147</v>
      </c>
      <c r="Z19" s="1266" t="s">
        <v>546</v>
      </c>
      <c r="AA19" s="1267"/>
      <c r="AB19" s="794" t="s">
        <v>147</v>
      </c>
      <c r="AC19" s="1266" t="s">
        <v>546</v>
      </c>
      <c r="AD19" s="1267"/>
      <c r="AE19" s="1028" t="s">
        <v>147</v>
      </c>
    </row>
    <row r="20" spans="1:36" ht="6" customHeight="1" thickBot="1">
      <c r="D20" s="4"/>
      <c r="E20" s="4"/>
      <c r="F20" s="4"/>
      <c r="G20" s="4"/>
      <c r="H20" s="4"/>
      <c r="I20" s="4"/>
      <c r="J20" s="1129"/>
      <c r="K20" s="1366"/>
      <c r="L20" s="1265"/>
      <c r="M20" s="1177"/>
      <c r="N20" s="1366"/>
      <c r="O20" s="1265"/>
      <c r="P20" s="795"/>
      <c r="Q20" s="1268"/>
      <c r="R20" s="1269"/>
      <c r="S20" s="795"/>
      <c r="T20" s="1268"/>
      <c r="U20" s="1269"/>
      <c r="V20" s="795"/>
      <c r="W20" s="1245"/>
      <c r="X20" s="1371"/>
      <c r="Y20" s="795"/>
      <c r="Z20" s="1245"/>
      <c r="AA20" s="1371"/>
      <c r="AB20" s="795"/>
      <c r="AC20" s="1245"/>
      <c r="AD20" s="1371"/>
      <c r="AE20" s="1029"/>
    </row>
    <row r="21" spans="1:36" ht="15" customHeight="1" thickBot="1">
      <c r="D21" s="4"/>
      <c r="E21" s="4"/>
      <c r="F21" s="4"/>
      <c r="G21" s="4"/>
      <c r="H21" s="4"/>
      <c r="I21" s="4"/>
      <c r="J21" s="478" t="s">
        <v>45</v>
      </c>
      <c r="K21" s="1339">
        <v>3</v>
      </c>
      <c r="L21" s="1251"/>
      <c r="M21" s="414">
        <f>K21/B10</f>
        <v>0.16666666666666666</v>
      </c>
      <c r="N21" s="1339">
        <v>0</v>
      </c>
      <c r="O21" s="1251"/>
      <c r="P21" s="414">
        <f>N21/B10</f>
        <v>0</v>
      </c>
      <c r="Q21" s="1256"/>
      <c r="R21" s="1257"/>
      <c r="S21" s="798">
        <f>Q21/B10</f>
        <v>0</v>
      </c>
      <c r="T21" s="1256">
        <v>10</v>
      </c>
      <c r="U21" s="1257"/>
      <c r="V21" s="798">
        <f>T21/B10</f>
        <v>0.55555555555555558</v>
      </c>
      <c r="W21" s="1256">
        <v>5</v>
      </c>
      <c r="X21" s="1257"/>
      <c r="Y21" s="800">
        <f>W21/B10</f>
        <v>0.27777777777777779</v>
      </c>
      <c r="Z21" s="1254">
        <v>15</v>
      </c>
      <c r="AA21" s="1255"/>
      <c r="AB21" s="799">
        <f>Z21/B10</f>
        <v>0.83333333333333337</v>
      </c>
      <c r="AC21" s="1254">
        <f>B10-Z21</f>
        <v>3</v>
      </c>
      <c r="AD21" s="1255"/>
      <c r="AE21" s="799">
        <f>AC21/B10</f>
        <v>0.16666666666666666</v>
      </c>
    </row>
    <row r="22" spans="1:36" ht="15.75" thickBot="1">
      <c r="D22" s="4"/>
      <c r="E22" s="4"/>
      <c r="F22" s="4"/>
      <c r="G22" s="4"/>
      <c r="H22" s="4"/>
      <c r="I22" s="4"/>
      <c r="J22" s="478" t="s">
        <v>46</v>
      </c>
      <c r="K22" s="1339">
        <v>1</v>
      </c>
      <c r="L22" s="1251"/>
      <c r="M22" s="414">
        <f t="shared" ref="M22:M25" si="3">K22/B11</f>
        <v>5.8823529411764705E-2</v>
      </c>
      <c r="N22" s="1339">
        <v>0</v>
      </c>
      <c r="O22" s="1251"/>
      <c r="P22" s="414">
        <f t="shared" ref="P22:P25" si="4">N22/B11</f>
        <v>0</v>
      </c>
      <c r="Q22" s="1252"/>
      <c r="R22" s="1253"/>
      <c r="S22" s="798">
        <f t="shared" ref="S22:S25" si="5">Q22/B11</f>
        <v>0</v>
      </c>
      <c r="T22" s="1252">
        <v>8</v>
      </c>
      <c r="U22" s="1253"/>
      <c r="V22" s="798">
        <f t="shared" ref="V22:V25" si="6">T22/B11</f>
        <v>0.47058823529411764</v>
      </c>
      <c r="W22" s="1252">
        <v>5</v>
      </c>
      <c r="X22" s="1253"/>
      <c r="Y22" s="800">
        <f t="shared" ref="Y22:Y25" si="7">W22/B11</f>
        <v>0.29411764705882354</v>
      </c>
      <c r="Z22" s="1254">
        <v>15</v>
      </c>
      <c r="AA22" s="1255"/>
      <c r="AB22" s="799">
        <f t="shared" ref="AB22:AB25" si="8">Z22/B11</f>
        <v>0.88235294117647056</v>
      </c>
      <c r="AC22" s="1254">
        <f t="shared" ref="AC22:AC25" si="9">B11-Z22</f>
        <v>2</v>
      </c>
      <c r="AD22" s="1255"/>
      <c r="AE22" s="799">
        <f t="shared" ref="AE22:AE25" si="10">AC22/B11</f>
        <v>0.11764705882352941</v>
      </c>
    </row>
    <row r="23" spans="1:36" ht="15.75" thickBot="1">
      <c r="D23" s="4"/>
      <c r="E23" s="4"/>
      <c r="F23" s="4"/>
      <c r="G23" s="4"/>
      <c r="H23" s="4"/>
      <c r="I23" s="4"/>
      <c r="J23" s="478" t="s">
        <v>47</v>
      </c>
      <c r="K23" s="1339">
        <v>0</v>
      </c>
      <c r="L23" s="1251"/>
      <c r="M23" s="414">
        <f t="shared" si="3"/>
        <v>0</v>
      </c>
      <c r="N23" s="1339">
        <v>0</v>
      </c>
      <c r="O23" s="1251"/>
      <c r="P23" s="414">
        <f t="shared" si="4"/>
        <v>0</v>
      </c>
      <c r="Q23" s="1252"/>
      <c r="R23" s="1253"/>
      <c r="S23" s="798">
        <f t="shared" si="5"/>
        <v>0</v>
      </c>
      <c r="T23" s="1252">
        <v>19</v>
      </c>
      <c r="U23" s="1253"/>
      <c r="V23" s="798">
        <f t="shared" si="6"/>
        <v>0.6785714285714286</v>
      </c>
      <c r="W23" s="1252">
        <v>7</v>
      </c>
      <c r="X23" s="1253"/>
      <c r="Y23" s="800">
        <f t="shared" si="7"/>
        <v>0.25</v>
      </c>
      <c r="Z23" s="1254">
        <v>20</v>
      </c>
      <c r="AA23" s="1255"/>
      <c r="AB23" s="799">
        <f t="shared" si="8"/>
        <v>0.7142857142857143</v>
      </c>
      <c r="AC23" s="1254">
        <f t="shared" si="9"/>
        <v>8</v>
      </c>
      <c r="AD23" s="1255"/>
      <c r="AE23" s="799">
        <f t="shared" si="10"/>
        <v>0.2857142857142857</v>
      </c>
    </row>
    <row r="24" spans="1:36" ht="15.75" thickBot="1">
      <c r="D24" s="4"/>
      <c r="E24" s="4"/>
      <c r="F24" s="4"/>
      <c r="G24" s="4"/>
      <c r="H24" s="4"/>
      <c r="I24" s="4"/>
      <c r="J24" s="478" t="s">
        <v>48</v>
      </c>
      <c r="K24" s="1339">
        <v>0</v>
      </c>
      <c r="L24" s="1251"/>
      <c r="M24" s="414">
        <f t="shared" si="3"/>
        <v>0</v>
      </c>
      <c r="N24" s="1339">
        <v>0</v>
      </c>
      <c r="O24" s="1251"/>
      <c r="P24" s="414">
        <f t="shared" si="4"/>
        <v>0</v>
      </c>
      <c r="Q24" s="1252"/>
      <c r="R24" s="1253"/>
      <c r="S24" s="798">
        <f t="shared" si="5"/>
        <v>0</v>
      </c>
      <c r="T24" s="1252">
        <v>7</v>
      </c>
      <c r="U24" s="1253"/>
      <c r="V24" s="798">
        <f t="shared" si="6"/>
        <v>0.30434782608695654</v>
      </c>
      <c r="W24" s="1252">
        <v>12</v>
      </c>
      <c r="X24" s="1253"/>
      <c r="Y24" s="800">
        <f t="shared" si="7"/>
        <v>0.52173913043478259</v>
      </c>
      <c r="Z24" s="1345">
        <v>21</v>
      </c>
      <c r="AA24" s="1346"/>
      <c r="AB24" s="799">
        <f t="shared" si="8"/>
        <v>0.91304347826086951</v>
      </c>
      <c r="AC24" s="1254">
        <f t="shared" si="9"/>
        <v>2</v>
      </c>
      <c r="AD24" s="1255"/>
      <c r="AE24" s="799">
        <f t="shared" si="10"/>
        <v>8.6956521739130432E-2</v>
      </c>
    </row>
    <row r="25" spans="1:36" ht="15.75" thickBot="1">
      <c r="D25" s="4"/>
      <c r="E25" s="4"/>
      <c r="F25" s="4"/>
      <c r="G25" s="4"/>
      <c r="H25" s="4"/>
      <c r="I25" s="4"/>
      <c r="J25" s="478" t="s">
        <v>49</v>
      </c>
      <c r="K25" s="1339">
        <v>1</v>
      </c>
      <c r="L25" s="1251"/>
      <c r="M25" s="414">
        <f t="shared" si="3"/>
        <v>4.1666666666666664E-2</v>
      </c>
      <c r="N25" s="1339">
        <v>1</v>
      </c>
      <c r="O25" s="1251"/>
      <c r="P25" s="414">
        <f t="shared" si="4"/>
        <v>4.1666666666666664E-2</v>
      </c>
      <c r="Q25" s="1252"/>
      <c r="R25" s="1253"/>
      <c r="S25" s="798">
        <f t="shared" si="5"/>
        <v>0</v>
      </c>
      <c r="T25" s="1252">
        <v>13</v>
      </c>
      <c r="U25" s="1253"/>
      <c r="V25" s="798">
        <f t="shared" si="6"/>
        <v>0.54166666666666663</v>
      </c>
      <c r="W25" s="1252">
        <v>9</v>
      </c>
      <c r="X25" s="1253"/>
      <c r="Y25" s="800">
        <f t="shared" si="7"/>
        <v>0.375</v>
      </c>
      <c r="Z25" s="1345">
        <v>18</v>
      </c>
      <c r="AA25" s="1346"/>
      <c r="AB25" s="799">
        <f t="shared" si="8"/>
        <v>0.75</v>
      </c>
      <c r="AC25" s="1254">
        <f t="shared" si="9"/>
        <v>6</v>
      </c>
      <c r="AD25" s="1255"/>
      <c r="AE25" s="799">
        <f t="shared" si="10"/>
        <v>0.25</v>
      </c>
    </row>
    <row r="26" spans="1:36" ht="15.75" thickBot="1">
      <c r="A26" s="4"/>
      <c r="B26" s="4"/>
      <c r="C26" s="4"/>
      <c r="D26" s="4"/>
      <c r="E26" s="4"/>
      <c r="F26" s="4"/>
      <c r="G26" s="4"/>
      <c r="H26" s="4"/>
      <c r="I26" s="4"/>
      <c r="J26" s="478" t="s">
        <v>0</v>
      </c>
      <c r="K26" s="1343">
        <f>SUM(K21:K25)</f>
        <v>5</v>
      </c>
      <c r="L26" s="1247"/>
      <c r="M26" s="194">
        <f>K26/B15</f>
        <v>4.5454545454545456E-2</v>
      </c>
      <c r="N26" s="1343">
        <f>SUM(N21:N25)</f>
        <v>1</v>
      </c>
      <c r="O26" s="1247"/>
      <c r="P26" s="194">
        <f>N26/B15</f>
        <v>9.0909090909090905E-3</v>
      </c>
      <c r="Q26" s="1246">
        <f>SUM(Q21:R25)</f>
        <v>0</v>
      </c>
      <c r="R26" s="1247"/>
      <c r="S26" s="194">
        <f>Q26/B15</f>
        <v>0</v>
      </c>
      <c r="T26" s="1246">
        <f>SUM(T21:U25)</f>
        <v>57</v>
      </c>
      <c r="U26" s="1247"/>
      <c r="V26" s="194">
        <f>T26/B15</f>
        <v>0.51818181818181819</v>
      </c>
      <c r="W26" s="1248">
        <f>SUM(W21:W25)</f>
        <v>38</v>
      </c>
      <c r="X26" s="1249"/>
      <c r="Y26" s="810">
        <f>W26/B15</f>
        <v>0.34545454545454546</v>
      </c>
      <c r="Z26" s="1276">
        <f>SUM(Z21:AA25)</f>
        <v>89</v>
      </c>
      <c r="AA26" s="1249"/>
      <c r="AB26" s="811">
        <f>Z26/B15</f>
        <v>0.80909090909090908</v>
      </c>
      <c r="AC26" s="1276">
        <f>SUM(AC21:AD25)</f>
        <v>21</v>
      </c>
      <c r="AD26" s="1249"/>
      <c r="AE26" s="811">
        <f>AC26/B15</f>
        <v>0.19090909090909092</v>
      </c>
    </row>
    <row r="27" spans="1:36" ht="14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24"/>
      <c r="O27" s="24"/>
      <c r="P27" s="24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115"/>
      <c r="AD27" s="25"/>
      <c r="AE27" s="25"/>
      <c r="AF27" s="25"/>
      <c r="AG27" s="25"/>
      <c r="AH27" s="25"/>
      <c r="AI27" s="4"/>
      <c r="AJ27" s="4"/>
    </row>
    <row r="28" spans="1:36" ht="14.25">
      <c r="A28" s="4"/>
      <c r="B28" s="4"/>
      <c r="C28" s="4"/>
      <c r="D28" s="4"/>
      <c r="E28" s="4"/>
      <c r="F28" s="4"/>
      <c r="G28" s="4"/>
      <c r="H28" s="4"/>
      <c r="I28" s="4"/>
      <c r="J28" s="114"/>
      <c r="K28" s="114"/>
      <c r="L28" s="114"/>
      <c r="M28" s="114"/>
      <c r="N28" s="114"/>
      <c r="O28" s="114"/>
      <c r="P28" s="114"/>
      <c r="Q28" s="114"/>
      <c r="R28" s="114"/>
      <c r="S28" s="114"/>
      <c r="T28" s="114"/>
      <c r="U28" s="114"/>
      <c r="V28" s="114"/>
      <c r="W28" s="114"/>
      <c r="X28" s="114"/>
      <c r="Y28" s="114"/>
      <c r="Z28" s="114"/>
      <c r="AA28" s="114"/>
      <c r="AB28" s="114"/>
      <c r="AC28" s="114"/>
      <c r="AD28" s="114"/>
      <c r="AE28" s="114"/>
      <c r="AF28" s="25"/>
      <c r="AG28" s="25"/>
      <c r="AH28" s="25"/>
      <c r="AI28" s="4"/>
      <c r="AJ28" s="4"/>
    </row>
    <row r="29" spans="1:36" ht="14.25">
      <c r="A29" s="4"/>
      <c r="B29" s="4"/>
      <c r="C29" s="4"/>
      <c r="D29" s="4"/>
      <c r="E29" s="4"/>
      <c r="F29" s="4"/>
      <c r="G29" s="4"/>
      <c r="H29" s="4"/>
      <c r="I29" s="4"/>
      <c r="J29" s="114"/>
      <c r="K29" s="114"/>
      <c r="L29" s="114"/>
      <c r="M29" s="114"/>
      <c r="N29" s="114"/>
      <c r="O29" s="114"/>
      <c r="P29" s="114"/>
      <c r="Q29" s="114"/>
      <c r="R29" s="114"/>
      <c r="S29" s="114"/>
      <c r="T29" s="114"/>
      <c r="U29" s="114"/>
      <c r="V29" s="114"/>
      <c r="W29" s="114"/>
      <c r="X29" s="114"/>
      <c r="Y29" s="114"/>
      <c r="Z29" s="114"/>
      <c r="AA29" s="114"/>
      <c r="AB29" s="114"/>
      <c r="AC29" s="114"/>
      <c r="AD29" s="114"/>
      <c r="AE29" s="114"/>
      <c r="AF29" s="25"/>
      <c r="AG29" s="25"/>
      <c r="AH29" s="25"/>
      <c r="AI29" s="25"/>
      <c r="AJ29" s="25"/>
    </row>
    <row r="30" spans="1:36" ht="14.25">
      <c r="A30" s="4"/>
      <c r="B30" s="35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3"/>
      <c r="O30" s="4"/>
      <c r="P30" s="24"/>
      <c r="Q30" s="30"/>
      <c r="R30" s="4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</row>
    <row r="31" spans="1:36" ht="14.25">
      <c r="B31" s="34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33"/>
      <c r="O31" s="4"/>
      <c r="P31" s="24"/>
      <c r="Q31" s="43"/>
      <c r="R31" s="44"/>
      <c r="AJ31" s="23"/>
    </row>
    <row r="32" spans="1:36" ht="14.25">
      <c r="B32" s="34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33"/>
      <c r="O32" s="4"/>
      <c r="P32" s="24"/>
      <c r="Q32" s="43"/>
      <c r="R32" s="37"/>
      <c r="AJ32" s="23"/>
    </row>
    <row r="33" spans="14:18" ht="14.25">
      <c r="O33" s="4"/>
      <c r="P33" s="24"/>
      <c r="Q33" s="43"/>
      <c r="R33" s="37"/>
    </row>
    <row r="34" spans="14:18" ht="14.25">
      <c r="O34" s="4"/>
      <c r="P34" s="24"/>
      <c r="Q34" s="43"/>
      <c r="R34" s="37"/>
    </row>
    <row r="35" spans="14:18" ht="14.25">
      <c r="O35" s="4"/>
      <c r="P35" s="24"/>
      <c r="Q35" s="45"/>
      <c r="R35" s="44"/>
    </row>
    <row r="45" spans="14:18" ht="14.25">
      <c r="N45" s="4"/>
    </row>
    <row r="46" spans="14:18" ht="14.25">
      <c r="N46" s="4"/>
    </row>
    <row r="47" spans="14:18" ht="14.25">
      <c r="N47" s="4"/>
    </row>
    <row r="48" spans="14:18" ht="14.25">
      <c r="N48" s="4"/>
    </row>
    <row r="49" spans="8:14" ht="14.25">
      <c r="N49" s="4"/>
    </row>
    <row r="50" spans="8:14" ht="14.25">
      <c r="N50" s="4"/>
    </row>
    <row r="51" spans="8:14" ht="14.25">
      <c r="H51" s="4"/>
      <c r="I51" s="4"/>
      <c r="J51" s="4"/>
      <c r="K51" s="4"/>
      <c r="L51" s="4"/>
      <c r="M51" s="4"/>
      <c r="N51" s="4"/>
    </row>
    <row r="52" spans="8:14" ht="14.25">
      <c r="H52" s="4"/>
      <c r="I52" s="4"/>
      <c r="J52" s="4"/>
      <c r="K52" s="4"/>
      <c r="L52" s="4"/>
      <c r="M52" s="4"/>
      <c r="N52" s="4"/>
    </row>
    <row r="1048142" spans="38:58">
      <c r="AL1048142">
        <v>10</v>
      </c>
      <c r="AN1048142">
        <v>12</v>
      </c>
      <c r="AP1048142">
        <v>10</v>
      </c>
      <c r="AR1048142">
        <v>8</v>
      </c>
      <c r="AV1048142">
        <v>7</v>
      </c>
      <c r="AX1048142">
        <v>5</v>
      </c>
      <c r="AZ1048142">
        <v>15</v>
      </c>
      <c r="BB1048142">
        <v>13</v>
      </c>
      <c r="BD1048142">
        <v>17</v>
      </c>
      <c r="BF1048142">
        <v>3</v>
      </c>
    </row>
  </sheetData>
  <mergeCells count="76">
    <mergeCell ref="E7:F7"/>
    <mergeCell ref="K19:L20"/>
    <mergeCell ref="I7:J7"/>
    <mergeCell ref="S7:T7"/>
    <mergeCell ref="Y7:Z7"/>
    <mergeCell ref="K18:M18"/>
    <mergeCell ref="N18:P18"/>
    <mergeCell ref="Q18:S18"/>
    <mergeCell ref="T18:V18"/>
    <mergeCell ref="W18:Y18"/>
    <mergeCell ref="Z18:AB18"/>
    <mergeCell ref="W19:X20"/>
    <mergeCell ref="Z19:AA20"/>
    <mergeCell ref="N19:O20"/>
    <mergeCell ref="Q19:R20"/>
    <mergeCell ref="T19:U20"/>
    <mergeCell ref="A1:AJ2"/>
    <mergeCell ref="A3:AJ4"/>
    <mergeCell ref="A7:A9"/>
    <mergeCell ref="Q7:R7"/>
    <mergeCell ref="O7:P7"/>
    <mergeCell ref="U7:V7"/>
    <mergeCell ref="M7:N7"/>
    <mergeCell ref="C7:D7"/>
    <mergeCell ref="G7:H7"/>
    <mergeCell ref="AI7:AJ7"/>
    <mergeCell ref="AE7:AF7"/>
    <mergeCell ref="K7:L7"/>
    <mergeCell ref="AG7:AH7"/>
    <mergeCell ref="AC7:AD7"/>
    <mergeCell ref="W7:X7"/>
    <mergeCell ref="AA7:AB7"/>
    <mergeCell ref="Z21:AA21"/>
    <mergeCell ref="K22:L22"/>
    <mergeCell ref="N22:O22"/>
    <mergeCell ref="Q22:R22"/>
    <mergeCell ref="T22:U22"/>
    <mergeCell ref="W22:X22"/>
    <mergeCell ref="Z22:AA22"/>
    <mergeCell ref="K21:L21"/>
    <mergeCell ref="N21:O21"/>
    <mergeCell ref="Q21:R21"/>
    <mergeCell ref="T21:U21"/>
    <mergeCell ref="W21:X21"/>
    <mergeCell ref="Z23:AA23"/>
    <mergeCell ref="K24:L24"/>
    <mergeCell ref="N24:O24"/>
    <mergeCell ref="Q24:R24"/>
    <mergeCell ref="T24:U24"/>
    <mergeCell ref="W24:X24"/>
    <mergeCell ref="Z24:AA24"/>
    <mergeCell ref="K23:L23"/>
    <mergeCell ref="N23:O23"/>
    <mergeCell ref="Q23:R23"/>
    <mergeCell ref="T23:U23"/>
    <mergeCell ref="W23:X23"/>
    <mergeCell ref="Z25:AA25"/>
    <mergeCell ref="K25:L25"/>
    <mergeCell ref="N25:O25"/>
    <mergeCell ref="Q25:R25"/>
    <mergeCell ref="T25:U25"/>
    <mergeCell ref="W25:X25"/>
    <mergeCell ref="Z26:AA26"/>
    <mergeCell ref="K26:L26"/>
    <mergeCell ref="N26:O26"/>
    <mergeCell ref="Q26:R26"/>
    <mergeCell ref="T26:U26"/>
    <mergeCell ref="W26:X26"/>
    <mergeCell ref="AC24:AD24"/>
    <mergeCell ref="AC25:AD25"/>
    <mergeCell ref="AC26:AD26"/>
    <mergeCell ref="AC18:AE18"/>
    <mergeCell ref="AC19:AD20"/>
    <mergeCell ref="AC21:AD21"/>
    <mergeCell ref="AC22:AD22"/>
    <mergeCell ref="AC23:AD23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3" orientation="landscape" useFirstPageNumber="1" r:id="rId1"/>
  <headerFooter>
    <oddHeader>&amp;L&amp;"Trebuchet MS,Negrito"&amp;12&amp;K01+014AGRUPAMENTO DE ESCOLAS MIGUEL TORGA&amp;C
&amp;R&amp;"Trebuchet MS,Negrito itálico"&amp;12AUTOAVALIAÇÃO
3ºPeríodo  2012/13
Tabela IX</oddHeader>
    <oddFooter>&amp;C
&amp;R10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14B0"/>
  </sheetPr>
  <dimension ref="A1:AI23"/>
  <sheetViews>
    <sheetView showGridLines="0" zoomScalePageLayoutView="120" workbookViewId="0">
      <selection sqref="A1:AF2"/>
    </sheetView>
  </sheetViews>
  <sheetFormatPr defaultRowHeight="12.75"/>
  <cols>
    <col min="1" max="2" width="7.42578125" customWidth="1"/>
    <col min="3" max="5" width="5.7109375" customWidth="1"/>
    <col min="6" max="6" width="6.5703125" bestFit="1" customWidth="1"/>
    <col min="7" max="25" width="5.7109375" customWidth="1"/>
    <col min="26" max="26" width="6" customWidth="1"/>
    <col min="27" max="30" width="5.7109375" customWidth="1"/>
    <col min="31" max="31" width="5.42578125" bestFit="1" customWidth="1"/>
    <col min="32" max="32" width="5.28515625" bestFit="1" customWidth="1"/>
    <col min="33" max="33" width="6.7109375" customWidth="1"/>
    <col min="34" max="34" width="6" customWidth="1"/>
  </cols>
  <sheetData>
    <row r="1" spans="1:35" ht="12.75" customHeight="1">
      <c r="A1" s="1277" t="s">
        <v>132</v>
      </c>
      <c r="B1" s="1277"/>
      <c r="C1" s="1277"/>
      <c r="D1" s="1277"/>
      <c r="E1" s="1277"/>
      <c r="F1" s="1277"/>
      <c r="G1" s="1277"/>
      <c r="H1" s="1277"/>
      <c r="I1" s="1277"/>
      <c r="J1" s="1277"/>
      <c r="K1" s="1277"/>
      <c r="L1" s="1277"/>
      <c r="M1" s="1277"/>
      <c r="N1" s="1277"/>
      <c r="O1" s="1277"/>
      <c r="P1" s="1277"/>
      <c r="Q1" s="1277"/>
      <c r="R1" s="1277"/>
      <c r="S1" s="1277"/>
      <c r="T1" s="1277"/>
      <c r="U1" s="1277"/>
      <c r="V1" s="1277"/>
      <c r="W1" s="1277"/>
      <c r="X1" s="1277"/>
      <c r="Y1" s="1277"/>
      <c r="Z1" s="1277"/>
      <c r="AA1" s="1277"/>
      <c r="AB1" s="1277"/>
      <c r="AC1" s="1277"/>
      <c r="AD1" s="1277"/>
      <c r="AE1" s="1277"/>
      <c r="AF1" s="1277"/>
    </row>
    <row r="2" spans="1:35" ht="12.75" customHeight="1">
      <c r="A2" s="1277"/>
      <c r="B2" s="1277"/>
      <c r="C2" s="1277"/>
      <c r="D2" s="1277"/>
      <c r="E2" s="1277"/>
      <c r="F2" s="1277"/>
      <c r="G2" s="1277"/>
      <c r="H2" s="1277"/>
      <c r="I2" s="1277"/>
      <c r="J2" s="1277"/>
      <c r="K2" s="1277"/>
      <c r="L2" s="1277"/>
      <c r="M2" s="1277"/>
      <c r="N2" s="1277"/>
      <c r="O2" s="1277"/>
      <c r="P2" s="1277"/>
      <c r="Q2" s="1277"/>
      <c r="R2" s="1277"/>
      <c r="S2" s="1277"/>
      <c r="T2" s="1277"/>
      <c r="U2" s="1277"/>
      <c r="V2" s="1277"/>
      <c r="W2" s="1277"/>
      <c r="X2" s="1277"/>
      <c r="Y2" s="1277"/>
      <c r="Z2" s="1277"/>
      <c r="AA2" s="1277"/>
      <c r="AB2" s="1277"/>
      <c r="AC2" s="1277"/>
      <c r="AD2" s="1277"/>
      <c r="AE2" s="1277"/>
      <c r="AF2" s="1277"/>
    </row>
    <row r="3" spans="1:35" ht="12.75" customHeight="1">
      <c r="A3" s="1277" t="s">
        <v>497</v>
      </c>
      <c r="B3" s="1277"/>
      <c r="C3" s="1277"/>
      <c r="D3" s="1277"/>
      <c r="E3" s="1277"/>
      <c r="F3" s="1277"/>
      <c r="G3" s="1277"/>
      <c r="H3" s="1277"/>
      <c r="I3" s="1277"/>
      <c r="J3" s="1277"/>
      <c r="K3" s="1277"/>
      <c r="L3" s="1277"/>
      <c r="M3" s="1277"/>
      <c r="N3" s="1277"/>
      <c r="O3" s="1277"/>
      <c r="P3" s="1277"/>
      <c r="Q3" s="1277"/>
      <c r="R3" s="1277"/>
      <c r="S3" s="1277"/>
      <c r="T3" s="1277"/>
      <c r="U3" s="1277"/>
      <c r="V3" s="1277"/>
      <c r="W3" s="1277"/>
      <c r="X3" s="1277"/>
      <c r="Y3" s="1277"/>
      <c r="Z3" s="1277"/>
      <c r="AA3" s="1277"/>
      <c r="AB3" s="1277"/>
      <c r="AC3" s="1277"/>
      <c r="AD3" s="1277"/>
      <c r="AE3" s="1277"/>
      <c r="AF3" s="1277"/>
    </row>
    <row r="4" spans="1:35" ht="12.75" customHeight="1">
      <c r="A4" s="1277"/>
      <c r="B4" s="1277"/>
      <c r="C4" s="1277"/>
      <c r="D4" s="1277"/>
      <c r="E4" s="1277"/>
      <c r="F4" s="1277"/>
      <c r="G4" s="1277"/>
      <c r="H4" s="1277"/>
      <c r="I4" s="1277"/>
      <c r="J4" s="1277"/>
      <c r="K4" s="1277"/>
      <c r="L4" s="1277"/>
      <c r="M4" s="1277"/>
      <c r="N4" s="1277"/>
      <c r="O4" s="1277"/>
      <c r="P4" s="1277"/>
      <c r="Q4" s="1277"/>
      <c r="R4" s="1277"/>
      <c r="S4" s="1277"/>
      <c r="T4" s="1277"/>
      <c r="U4" s="1277"/>
      <c r="V4" s="1277"/>
      <c r="W4" s="1277"/>
      <c r="X4" s="1277"/>
      <c r="Y4" s="1277"/>
      <c r="Z4" s="1277"/>
      <c r="AA4" s="1277"/>
      <c r="AB4" s="1277"/>
      <c r="AC4" s="1277"/>
      <c r="AD4" s="1277"/>
      <c r="AE4" s="1277"/>
      <c r="AF4" s="1277"/>
    </row>
    <row r="5" spans="1:35" ht="13.5" thickBot="1"/>
    <row r="6" spans="1:35" ht="16.5" customHeight="1" thickBot="1">
      <c r="A6" s="1240" t="s">
        <v>128</v>
      </c>
      <c r="B6" s="105" t="s">
        <v>7</v>
      </c>
      <c r="C6" s="1279" t="s">
        <v>25</v>
      </c>
      <c r="D6" s="1289" t="s">
        <v>25</v>
      </c>
      <c r="E6" s="1347" t="s">
        <v>608</v>
      </c>
      <c r="F6" s="1348"/>
      <c r="G6" s="1290" t="s">
        <v>493</v>
      </c>
      <c r="H6" s="1289"/>
      <c r="I6" s="1290" t="s">
        <v>494</v>
      </c>
      <c r="J6" s="1289"/>
      <c r="K6" s="1290" t="s">
        <v>496</v>
      </c>
      <c r="L6" s="1289"/>
      <c r="M6" s="1290" t="s">
        <v>43</v>
      </c>
      <c r="N6" s="1289"/>
      <c r="O6" s="1278" t="s">
        <v>42</v>
      </c>
      <c r="P6" s="1279"/>
      <c r="Q6" s="1278" t="s">
        <v>23</v>
      </c>
      <c r="R6" s="1279"/>
      <c r="S6" s="1278" t="s">
        <v>120</v>
      </c>
      <c r="T6" s="1279"/>
      <c r="U6" s="1278" t="s">
        <v>41</v>
      </c>
      <c r="V6" s="1279"/>
      <c r="W6" s="1279" t="s">
        <v>129</v>
      </c>
      <c r="X6" s="1289"/>
      <c r="Y6" s="1279" t="s">
        <v>122</v>
      </c>
      <c r="Z6" s="1289" t="s">
        <v>22</v>
      </c>
      <c r="AA6" s="1279" t="s">
        <v>20</v>
      </c>
      <c r="AB6" s="1289"/>
      <c r="AC6" s="1279" t="s">
        <v>50</v>
      </c>
      <c r="AD6" s="1289"/>
      <c r="AE6" s="15"/>
      <c r="AF6" s="15"/>
    </row>
    <row r="7" spans="1:35" ht="15" customHeight="1">
      <c r="A7" s="1241"/>
      <c r="B7" s="106" t="s">
        <v>19</v>
      </c>
      <c r="C7" s="85" t="s">
        <v>18</v>
      </c>
      <c r="D7" s="85" t="s">
        <v>17</v>
      </c>
      <c r="E7" s="85" t="s">
        <v>18</v>
      </c>
      <c r="F7" s="85" t="s">
        <v>17</v>
      </c>
      <c r="G7" s="85" t="s">
        <v>18</v>
      </c>
      <c r="H7" s="85" t="s">
        <v>17</v>
      </c>
      <c r="I7" s="85" t="s">
        <v>18</v>
      </c>
      <c r="J7" s="85" t="s">
        <v>17</v>
      </c>
      <c r="K7" s="85" t="s">
        <v>18</v>
      </c>
      <c r="L7" s="85" t="s">
        <v>17</v>
      </c>
      <c r="M7" s="85" t="s">
        <v>18</v>
      </c>
      <c r="N7" s="85" t="s">
        <v>17</v>
      </c>
      <c r="O7" s="85" t="s">
        <v>18</v>
      </c>
      <c r="P7" s="85" t="s">
        <v>17</v>
      </c>
      <c r="Q7" s="85" t="s">
        <v>18</v>
      </c>
      <c r="R7" s="85" t="s">
        <v>17</v>
      </c>
      <c r="S7" s="85" t="s">
        <v>18</v>
      </c>
      <c r="T7" s="85" t="s">
        <v>17</v>
      </c>
      <c r="U7" s="85" t="s">
        <v>18</v>
      </c>
      <c r="V7" s="85" t="s">
        <v>17</v>
      </c>
      <c r="W7" s="85" t="s">
        <v>18</v>
      </c>
      <c r="X7" s="85" t="s">
        <v>17</v>
      </c>
      <c r="Y7" s="85" t="s">
        <v>18</v>
      </c>
      <c r="Z7" s="85" t="s">
        <v>17</v>
      </c>
      <c r="AA7" s="85" t="s">
        <v>18</v>
      </c>
      <c r="AB7" s="85" t="s">
        <v>17</v>
      </c>
      <c r="AC7" s="85" t="s">
        <v>18</v>
      </c>
      <c r="AD7" s="85" t="s">
        <v>17</v>
      </c>
    </row>
    <row r="8" spans="1:35" ht="14.25" thickBot="1">
      <c r="A8" s="1242"/>
      <c r="B8" s="107" t="s">
        <v>16</v>
      </c>
      <c r="C8" s="90" t="s">
        <v>323</v>
      </c>
      <c r="D8" s="90" t="s">
        <v>324</v>
      </c>
      <c r="E8" s="90" t="s">
        <v>323</v>
      </c>
      <c r="F8" s="90" t="s">
        <v>324</v>
      </c>
      <c r="G8" s="90" t="s">
        <v>323</v>
      </c>
      <c r="H8" s="90" t="s">
        <v>324</v>
      </c>
      <c r="I8" s="90" t="s">
        <v>323</v>
      </c>
      <c r="J8" s="90" t="s">
        <v>324</v>
      </c>
      <c r="K8" s="90" t="s">
        <v>323</v>
      </c>
      <c r="L8" s="90" t="s">
        <v>324</v>
      </c>
      <c r="M8" s="90" t="s">
        <v>323</v>
      </c>
      <c r="N8" s="90" t="s">
        <v>324</v>
      </c>
      <c r="O8" s="90" t="s">
        <v>323</v>
      </c>
      <c r="P8" s="90" t="s">
        <v>324</v>
      </c>
      <c r="Q8" s="90" t="s">
        <v>323</v>
      </c>
      <c r="R8" s="90" t="s">
        <v>324</v>
      </c>
      <c r="S8" s="90" t="s">
        <v>323</v>
      </c>
      <c r="T8" s="90" t="s">
        <v>324</v>
      </c>
      <c r="U8" s="90" t="s">
        <v>323</v>
      </c>
      <c r="V8" s="90" t="s">
        <v>324</v>
      </c>
      <c r="W8" s="90" t="s">
        <v>323</v>
      </c>
      <c r="X8" s="90" t="s">
        <v>324</v>
      </c>
      <c r="Y8" s="90" t="s">
        <v>323</v>
      </c>
      <c r="Z8" s="90" t="s">
        <v>324</v>
      </c>
      <c r="AA8" s="90" t="s">
        <v>323</v>
      </c>
      <c r="AB8" s="90" t="s">
        <v>324</v>
      </c>
      <c r="AC8" s="90" t="s">
        <v>323</v>
      </c>
      <c r="AD8" s="90" t="s">
        <v>324</v>
      </c>
    </row>
    <row r="9" spans="1:35" ht="15.75" thickBot="1">
      <c r="A9" s="88">
        <v>1</v>
      </c>
      <c r="B9" s="1016">
        <v>18</v>
      </c>
      <c r="C9" s="806">
        <v>14</v>
      </c>
      <c r="D9" s="807">
        <f>(C9/B9)</f>
        <v>0.77777777777777779</v>
      </c>
      <c r="E9" s="809"/>
      <c r="F9" s="809"/>
      <c r="G9" s="806">
        <v>12</v>
      </c>
      <c r="H9" s="807">
        <f>(G9/B9)</f>
        <v>0.66666666666666663</v>
      </c>
      <c r="I9" s="808"/>
      <c r="J9" s="809"/>
      <c r="K9" s="806">
        <v>15</v>
      </c>
      <c r="L9" s="807">
        <f>K9/B9</f>
        <v>0.83333333333333337</v>
      </c>
      <c r="M9" s="806">
        <v>13</v>
      </c>
      <c r="N9" s="807">
        <f>(M9/B9)</f>
        <v>0.72222222222222221</v>
      </c>
      <c r="O9" s="806">
        <v>15</v>
      </c>
      <c r="P9" s="807">
        <f>(O9/B9)</f>
        <v>0.83333333333333337</v>
      </c>
      <c r="Q9" s="806">
        <v>10</v>
      </c>
      <c r="R9" s="807">
        <f>(Q9/B9)</f>
        <v>0.55555555555555558</v>
      </c>
      <c r="S9" s="806">
        <v>16</v>
      </c>
      <c r="T9" s="807">
        <f>(S9/B9)</f>
        <v>0.88888888888888884</v>
      </c>
      <c r="U9" s="806">
        <v>11</v>
      </c>
      <c r="V9" s="807">
        <f>(U9/B9)</f>
        <v>0.61111111111111116</v>
      </c>
      <c r="W9" s="806">
        <v>16</v>
      </c>
      <c r="X9" s="807">
        <f>W9/B9</f>
        <v>0.88888888888888884</v>
      </c>
      <c r="Y9" s="806">
        <v>18</v>
      </c>
      <c r="Z9" s="807">
        <f>(Y9/B9)</f>
        <v>1</v>
      </c>
      <c r="AA9" s="806">
        <v>1</v>
      </c>
      <c r="AB9" s="807">
        <f>AA9/1</f>
        <v>1</v>
      </c>
      <c r="AC9" s="806">
        <v>18</v>
      </c>
      <c r="AD9" s="807">
        <f>AC9/B9</f>
        <v>1</v>
      </c>
    </row>
    <row r="10" spans="1:35" ht="15.75" thickBot="1">
      <c r="A10" s="88">
        <v>2</v>
      </c>
      <c r="B10" s="1017">
        <v>23</v>
      </c>
      <c r="C10" s="93">
        <v>17</v>
      </c>
      <c r="D10" s="94">
        <f>C10/(B10-3)</f>
        <v>0.85</v>
      </c>
      <c r="E10" s="93">
        <v>3</v>
      </c>
      <c r="F10" s="94">
        <f>E10/3</f>
        <v>1</v>
      </c>
      <c r="G10" s="93">
        <v>19</v>
      </c>
      <c r="H10" s="94">
        <f>(G10/B10)</f>
        <v>0.82608695652173914</v>
      </c>
      <c r="I10" s="808"/>
      <c r="J10" s="809"/>
      <c r="K10" s="806">
        <v>21</v>
      </c>
      <c r="L10" s="807">
        <f>K10/22</f>
        <v>0.95454545454545459</v>
      </c>
      <c r="M10" s="93">
        <v>22</v>
      </c>
      <c r="N10" s="94">
        <f>(M10/B10)</f>
        <v>0.95652173913043481</v>
      </c>
      <c r="O10" s="93">
        <v>22</v>
      </c>
      <c r="P10" s="94">
        <f>(O10/B10)</f>
        <v>0.95652173913043481</v>
      </c>
      <c r="Q10" s="93">
        <v>14</v>
      </c>
      <c r="R10" s="94">
        <f>(Q10/B10)</f>
        <v>0.60869565217391308</v>
      </c>
      <c r="S10" s="93">
        <v>20</v>
      </c>
      <c r="T10" s="94">
        <f>(S10/B10)</f>
        <v>0.86956521739130432</v>
      </c>
      <c r="U10" s="195">
        <v>15</v>
      </c>
      <c r="V10" s="196">
        <f>(U10/B10)</f>
        <v>0.65217391304347827</v>
      </c>
      <c r="W10" s="93">
        <v>20</v>
      </c>
      <c r="X10" s="807">
        <f t="shared" ref="X10:X12" si="0">W10/B10</f>
        <v>0.86956521739130432</v>
      </c>
      <c r="Y10" s="93">
        <v>23</v>
      </c>
      <c r="Z10" s="94">
        <f>(Y10/B10)</f>
        <v>1</v>
      </c>
      <c r="AA10" s="93">
        <v>6</v>
      </c>
      <c r="AB10" s="94">
        <f>(AA10/6)</f>
        <v>1</v>
      </c>
      <c r="AC10" s="93">
        <v>21</v>
      </c>
      <c r="AD10" s="94">
        <f>AC10/B10</f>
        <v>0.91304347826086951</v>
      </c>
    </row>
    <row r="11" spans="1:35" ht="15.75" thickBot="1">
      <c r="A11" s="88">
        <v>3</v>
      </c>
      <c r="B11" s="1017">
        <v>22</v>
      </c>
      <c r="C11" s="93">
        <v>19</v>
      </c>
      <c r="D11" s="94">
        <f>C11/(B11-2)</f>
        <v>0.95</v>
      </c>
      <c r="E11" s="93">
        <v>2</v>
      </c>
      <c r="F11" s="94">
        <f>E11/2</f>
        <v>1</v>
      </c>
      <c r="G11" s="93">
        <v>15</v>
      </c>
      <c r="H11" s="94">
        <f>(G11/B11)</f>
        <v>0.68181818181818177</v>
      </c>
      <c r="I11" s="806">
        <v>18</v>
      </c>
      <c r="J11" s="807">
        <f>I11/23</f>
        <v>0.78260869565217395</v>
      </c>
      <c r="K11" s="808"/>
      <c r="L11" s="809"/>
      <c r="M11" s="93">
        <v>15</v>
      </c>
      <c r="N11" s="94">
        <f>(M11/B11)</f>
        <v>0.68181818181818177</v>
      </c>
      <c r="O11" s="93">
        <v>19</v>
      </c>
      <c r="P11" s="94">
        <f>(O11/B11)</f>
        <v>0.86363636363636365</v>
      </c>
      <c r="Q11" s="93">
        <v>14</v>
      </c>
      <c r="R11" s="94">
        <f>(Q11/B11)</f>
        <v>0.63636363636363635</v>
      </c>
      <c r="S11" s="93">
        <v>19</v>
      </c>
      <c r="T11" s="94">
        <f>(S11/B11)</f>
        <v>0.86363636363636365</v>
      </c>
      <c r="U11" s="195">
        <v>15</v>
      </c>
      <c r="V11" s="196">
        <f>(U11/B11)</f>
        <v>0.68181818181818177</v>
      </c>
      <c r="W11" s="195">
        <v>22</v>
      </c>
      <c r="X11" s="807">
        <f t="shared" si="0"/>
        <v>1</v>
      </c>
      <c r="Y11" s="195">
        <v>21</v>
      </c>
      <c r="Z11" s="196">
        <f>(Y11/B11)</f>
        <v>0.95454545454545459</v>
      </c>
      <c r="AA11" s="93">
        <v>11</v>
      </c>
      <c r="AB11" s="94">
        <f>(AA11/11)</f>
        <v>1</v>
      </c>
      <c r="AC11" s="93">
        <v>22</v>
      </c>
      <c r="AD11" s="94">
        <f>AC11/B11</f>
        <v>1</v>
      </c>
    </row>
    <row r="12" spans="1:35" ht="15.75" thickBot="1">
      <c r="A12" s="88">
        <v>4</v>
      </c>
      <c r="B12" s="1016">
        <v>23</v>
      </c>
      <c r="C12" s="93">
        <v>19</v>
      </c>
      <c r="D12" s="94">
        <f>(C12/B12)</f>
        <v>0.82608695652173914</v>
      </c>
      <c r="E12" s="809"/>
      <c r="F12" s="809"/>
      <c r="G12" s="93">
        <v>14</v>
      </c>
      <c r="H12" s="94">
        <f>(G12/B12)</f>
        <v>0.60869565217391308</v>
      </c>
      <c r="I12" s="806">
        <v>19</v>
      </c>
      <c r="J12" s="807">
        <f>(I12/B12)</f>
        <v>0.82608695652173914</v>
      </c>
      <c r="K12" s="808"/>
      <c r="L12" s="809"/>
      <c r="M12" s="93">
        <v>19</v>
      </c>
      <c r="N12" s="94">
        <f>(M12/B12)</f>
        <v>0.82608695652173914</v>
      </c>
      <c r="O12" s="93">
        <v>19</v>
      </c>
      <c r="P12" s="94">
        <f>(O12/B12)</f>
        <v>0.82608695652173914</v>
      </c>
      <c r="Q12" s="93">
        <v>10</v>
      </c>
      <c r="R12" s="94">
        <f>(Q12/B12)</f>
        <v>0.43478260869565216</v>
      </c>
      <c r="S12" s="93">
        <v>21</v>
      </c>
      <c r="T12" s="94">
        <f>(S12/B12)</f>
        <v>0.91304347826086951</v>
      </c>
      <c r="U12" s="195">
        <v>17</v>
      </c>
      <c r="V12" s="196">
        <f>(U12/B12)</f>
        <v>0.73913043478260865</v>
      </c>
      <c r="W12" s="93">
        <v>21</v>
      </c>
      <c r="X12" s="807">
        <f t="shared" si="0"/>
        <v>0.91304347826086951</v>
      </c>
      <c r="Y12" s="93">
        <v>22</v>
      </c>
      <c r="Z12" s="94">
        <f>(Y12/B12)</f>
        <v>0.95652173913043481</v>
      </c>
      <c r="AA12" s="808"/>
      <c r="AB12" s="809"/>
      <c r="AC12" s="93">
        <v>22</v>
      </c>
      <c r="AD12" s="94">
        <f>AC12/B12</f>
        <v>0.95652173913043481</v>
      </c>
    </row>
    <row r="13" spans="1:35" ht="18.75" thickBot="1">
      <c r="A13" s="86" t="s">
        <v>0</v>
      </c>
      <c r="B13" s="813">
        <f>SUM(B9:B12)</f>
        <v>86</v>
      </c>
      <c r="C13" s="813">
        <f>SUM(C9:C12)</f>
        <v>69</v>
      </c>
      <c r="D13" s="194">
        <f>C13/(B13-5)</f>
        <v>0.85185185185185186</v>
      </c>
      <c r="E13" s="87">
        <f>SUM(E9:E12)</f>
        <v>5</v>
      </c>
      <c r="F13" s="92">
        <f>E13/5</f>
        <v>1</v>
      </c>
      <c r="G13" s="813">
        <f>SUM(G9:G12)</f>
        <v>60</v>
      </c>
      <c r="H13" s="194">
        <f>(G13/B13)</f>
        <v>0.69767441860465118</v>
      </c>
      <c r="I13" s="813">
        <f>SUM(I9:I12)</f>
        <v>37</v>
      </c>
      <c r="J13" s="194">
        <f>I13/48</f>
        <v>0.77083333333333337</v>
      </c>
      <c r="K13" s="813">
        <f>SUM(K9:K12)</f>
        <v>36</v>
      </c>
      <c r="L13" s="194">
        <f>K13/42</f>
        <v>0.8571428571428571</v>
      </c>
      <c r="M13" s="813">
        <f>SUM(M9:M12)</f>
        <v>69</v>
      </c>
      <c r="N13" s="194">
        <f>(M13/B13)</f>
        <v>0.80232558139534882</v>
      </c>
      <c r="O13" s="813">
        <f>SUM(O9:O12)</f>
        <v>75</v>
      </c>
      <c r="P13" s="194">
        <f>(O13/B13)</f>
        <v>0.87209302325581395</v>
      </c>
      <c r="Q13" s="813">
        <f>SUM(Q9:Q12)</f>
        <v>48</v>
      </c>
      <c r="R13" s="194">
        <f>(Q13/B13)</f>
        <v>0.55813953488372092</v>
      </c>
      <c r="S13" s="813">
        <f>SUM(S9:S12)</f>
        <v>76</v>
      </c>
      <c r="T13" s="194">
        <f>(S13/B13)</f>
        <v>0.88372093023255816</v>
      </c>
      <c r="U13" s="813">
        <f>SUM(U9:U12)</f>
        <v>58</v>
      </c>
      <c r="V13" s="194">
        <f>U13/B13</f>
        <v>0.67441860465116277</v>
      </c>
      <c r="W13" s="813">
        <f>SUM(W9:W12)</f>
        <v>79</v>
      </c>
      <c r="X13" s="194">
        <f>W13/B13</f>
        <v>0.91860465116279066</v>
      </c>
      <c r="Y13" s="813">
        <f>SUM(Y9:Y12)</f>
        <v>84</v>
      </c>
      <c r="Z13" s="194">
        <f>(Y13/B13)</f>
        <v>0.97674418604651159</v>
      </c>
      <c r="AA13" s="813">
        <f>SUM(AA9:AA12)</f>
        <v>18</v>
      </c>
      <c r="AB13" s="194">
        <f>AA13/(1+6+11)</f>
        <v>1</v>
      </c>
      <c r="AC13" s="813">
        <f>SUM(AC9:AC12)</f>
        <v>83</v>
      </c>
      <c r="AD13" s="194">
        <f>AC13/B13</f>
        <v>0.96511627906976749</v>
      </c>
      <c r="AE13" s="29"/>
      <c r="AF13" s="29"/>
    </row>
    <row r="14" spans="1:35" ht="15.75" thickBot="1">
      <c r="A14" s="38" t="s">
        <v>15</v>
      </c>
      <c r="B14" s="4"/>
      <c r="C14" s="529"/>
      <c r="D14" s="529"/>
      <c r="E14" s="114"/>
      <c r="F14" s="114"/>
      <c r="G14" s="529"/>
      <c r="H14" s="529"/>
      <c r="I14" s="529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40"/>
      <c r="AE14" s="38"/>
      <c r="AF14" s="38"/>
    </row>
    <row r="15" spans="1:35" ht="15" thickBot="1">
      <c r="A15" s="114"/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114"/>
      <c r="N15" s="25"/>
      <c r="U15" s="1349" t="s">
        <v>631</v>
      </c>
      <c r="V15" s="1350"/>
      <c r="W15" s="1350"/>
      <c r="X15" s="1350"/>
      <c r="Y15" s="1350"/>
      <c r="Z15" s="1350"/>
      <c r="AA15" s="1307" t="s">
        <v>632</v>
      </c>
      <c r="AB15" s="1308"/>
      <c r="AC15" s="1308"/>
      <c r="AD15" s="1308"/>
      <c r="AE15" s="1308"/>
      <c r="AF15" s="1308"/>
      <c r="AG15" s="1308"/>
      <c r="AH15" s="1308"/>
      <c r="AI15" s="1309"/>
    </row>
    <row r="16" spans="1:35" ht="39" customHeight="1" thickBot="1">
      <c r="A16" s="114"/>
      <c r="B16" s="114"/>
      <c r="C16" s="114"/>
      <c r="D16" s="114"/>
      <c r="E16" s="114"/>
      <c r="F16" s="114"/>
      <c r="G16" s="114"/>
      <c r="H16" s="1206"/>
      <c r="I16" s="1362" t="s">
        <v>545</v>
      </c>
      <c r="J16" s="1363"/>
      <c r="K16" s="1364"/>
      <c r="L16" s="1362" t="s">
        <v>636</v>
      </c>
      <c r="M16" s="1363"/>
      <c r="N16" s="1364"/>
      <c r="O16" s="1362" t="s">
        <v>549</v>
      </c>
      <c r="P16" s="1363"/>
      <c r="Q16" s="1364"/>
      <c r="R16" s="1355" t="s">
        <v>547</v>
      </c>
      <c r="S16" s="1356"/>
      <c r="T16" s="1357"/>
      <c r="U16" s="1304" t="s">
        <v>548</v>
      </c>
      <c r="V16" s="1304"/>
      <c r="W16" s="1304"/>
      <c r="X16" s="1358" t="s">
        <v>630</v>
      </c>
      <c r="Y16" s="1358"/>
      <c r="Z16" s="1358"/>
      <c r="AA16" s="1310" t="s">
        <v>548</v>
      </c>
      <c r="AB16" s="1310"/>
      <c r="AC16" s="1310"/>
      <c r="AD16" s="1311" t="s">
        <v>283</v>
      </c>
      <c r="AE16" s="1311"/>
      <c r="AF16" s="1311"/>
      <c r="AG16" s="1311" t="s">
        <v>595</v>
      </c>
      <c r="AH16" s="1311"/>
      <c r="AI16" s="1311"/>
    </row>
    <row r="17" spans="4:35" ht="15.75" customHeight="1" thickBot="1">
      <c r="D17" s="25"/>
      <c r="E17" s="25"/>
      <c r="F17" s="25"/>
      <c r="G17" s="25"/>
      <c r="H17" s="1129"/>
      <c r="I17" s="1365" t="s">
        <v>546</v>
      </c>
      <c r="J17" s="1263"/>
      <c r="K17" s="1176" t="s">
        <v>147</v>
      </c>
      <c r="L17" s="1365" t="s">
        <v>546</v>
      </c>
      <c r="M17" s="1263"/>
      <c r="N17" s="803" t="s">
        <v>147</v>
      </c>
      <c r="O17" s="1266" t="s">
        <v>546</v>
      </c>
      <c r="P17" s="1267"/>
      <c r="Q17" s="804" t="s">
        <v>147</v>
      </c>
      <c r="R17" s="1266" t="s">
        <v>546</v>
      </c>
      <c r="S17" s="1267"/>
      <c r="T17" s="804" t="s">
        <v>147</v>
      </c>
      <c r="U17" s="1297" t="s">
        <v>546</v>
      </c>
      <c r="V17" s="1297"/>
      <c r="W17" s="1298" t="s">
        <v>147</v>
      </c>
      <c r="X17" s="1297" t="s">
        <v>546</v>
      </c>
      <c r="Y17" s="1297"/>
      <c r="Z17" s="1298" t="s">
        <v>147</v>
      </c>
      <c r="AA17" s="1312" t="s">
        <v>546</v>
      </c>
      <c r="AB17" s="1312"/>
      <c r="AC17" s="1313" t="s">
        <v>147</v>
      </c>
      <c r="AD17" s="1312" t="s">
        <v>546</v>
      </c>
      <c r="AE17" s="1312"/>
      <c r="AF17" s="1313" t="s">
        <v>147</v>
      </c>
      <c r="AG17" s="1312" t="s">
        <v>546</v>
      </c>
      <c r="AH17" s="1312"/>
      <c r="AI17" s="1314" t="s">
        <v>147</v>
      </c>
    </row>
    <row r="18" spans="4:35" ht="4.5" customHeight="1" thickBot="1">
      <c r="H18" s="1129"/>
      <c r="I18" s="1366"/>
      <c r="J18" s="1265"/>
      <c r="K18" s="1177"/>
      <c r="L18" s="1366"/>
      <c r="M18" s="1265"/>
      <c r="N18" s="805"/>
      <c r="O18" s="1268"/>
      <c r="P18" s="1269"/>
      <c r="Q18" s="805"/>
      <c r="R18" s="1268"/>
      <c r="S18" s="1269"/>
      <c r="T18" s="805"/>
      <c r="U18" s="1297"/>
      <c r="V18" s="1297"/>
      <c r="W18" s="1298"/>
      <c r="X18" s="1297"/>
      <c r="Y18" s="1297"/>
      <c r="Z18" s="1298"/>
      <c r="AA18" s="1312"/>
      <c r="AB18" s="1312"/>
      <c r="AC18" s="1313"/>
      <c r="AD18" s="1312"/>
      <c r="AE18" s="1312"/>
      <c r="AF18" s="1313"/>
      <c r="AG18" s="1312"/>
      <c r="AH18" s="1312"/>
      <c r="AI18" s="1315"/>
    </row>
    <row r="19" spans="4:35" ht="17.25" customHeight="1" thickBot="1">
      <c r="H19" s="478" t="s">
        <v>51</v>
      </c>
      <c r="I19" s="1339">
        <v>0</v>
      </c>
      <c r="J19" s="1251"/>
      <c r="K19" s="414">
        <f>I19/B9</f>
        <v>0</v>
      </c>
      <c r="L19" s="1339">
        <v>0</v>
      </c>
      <c r="M19" s="1251"/>
      <c r="N19" s="414">
        <v>0</v>
      </c>
      <c r="O19" s="1256">
        <v>0</v>
      </c>
      <c r="P19" s="1257"/>
      <c r="Q19" s="798">
        <f>O19/B9</f>
        <v>0</v>
      </c>
      <c r="R19" s="1256">
        <v>12</v>
      </c>
      <c r="S19" s="1257"/>
      <c r="T19" s="798">
        <f>R19/B9</f>
        <v>0.66666666666666663</v>
      </c>
      <c r="U19" s="1301">
        <v>8</v>
      </c>
      <c r="V19" s="1301"/>
      <c r="W19" s="1198">
        <f>U19/B9</f>
        <v>0.44444444444444442</v>
      </c>
      <c r="X19" s="1351">
        <v>13</v>
      </c>
      <c r="Y19" s="1351"/>
      <c r="Z19" s="1199">
        <f>X19/B9</f>
        <v>0.72222222222222221</v>
      </c>
      <c r="AA19" s="1323">
        <v>8</v>
      </c>
      <c r="AB19" s="1323"/>
      <c r="AC19" s="1192">
        <f>AA19/B9</f>
        <v>0.44444444444444442</v>
      </c>
      <c r="AD19" s="1306">
        <v>12</v>
      </c>
      <c r="AE19" s="1306"/>
      <c r="AF19" s="1193">
        <f>AD19/B9</f>
        <v>0.66666666666666663</v>
      </c>
      <c r="AG19" s="1306">
        <f>B9-AD19</f>
        <v>6</v>
      </c>
      <c r="AH19" s="1306"/>
      <c r="AI19" s="1193">
        <f>AG19/B9</f>
        <v>0.33333333333333331</v>
      </c>
    </row>
    <row r="20" spans="4:35" ht="15.75" thickBot="1">
      <c r="G20" s="688"/>
      <c r="H20" s="478" t="s">
        <v>52</v>
      </c>
      <c r="I20" s="1339">
        <v>0</v>
      </c>
      <c r="J20" s="1251"/>
      <c r="K20" s="414">
        <f t="shared" ref="K20:K22" si="1">I20/B10</f>
        <v>0</v>
      </c>
      <c r="L20" s="1339">
        <v>0</v>
      </c>
      <c r="M20" s="1251"/>
      <c r="N20" s="414">
        <v>0</v>
      </c>
      <c r="O20" s="1252">
        <v>0</v>
      </c>
      <c r="P20" s="1253"/>
      <c r="Q20" s="798">
        <f t="shared" ref="Q20:Q22" si="2">O20/B10</f>
        <v>0</v>
      </c>
      <c r="R20" s="1252">
        <v>13</v>
      </c>
      <c r="S20" s="1253"/>
      <c r="T20" s="798">
        <f t="shared" ref="T20:T22" si="3">R20/B10</f>
        <v>0.56521739130434778</v>
      </c>
      <c r="U20" s="1301">
        <v>12</v>
      </c>
      <c r="V20" s="1301"/>
      <c r="W20" s="1198">
        <f t="shared" ref="W20:W22" si="4">U20/B10</f>
        <v>0.52173913043478259</v>
      </c>
      <c r="X20" s="1351">
        <v>19</v>
      </c>
      <c r="Y20" s="1351"/>
      <c r="Z20" s="1199">
        <f t="shared" ref="Z20:Z22" si="5">X20/B10</f>
        <v>0.82608695652173914</v>
      </c>
      <c r="AA20" s="1323">
        <v>12</v>
      </c>
      <c r="AB20" s="1323"/>
      <c r="AC20" s="1192">
        <f>AA20/B9</f>
        <v>0.66666666666666663</v>
      </c>
      <c r="AD20" s="1306">
        <v>16</v>
      </c>
      <c r="AE20" s="1306"/>
      <c r="AF20" s="1193">
        <f t="shared" ref="AF20:AF22" si="6">AD20/B10</f>
        <v>0.69565217391304346</v>
      </c>
      <c r="AG20" s="1306">
        <f t="shared" ref="AG20:AG22" si="7">B10-AD20</f>
        <v>7</v>
      </c>
      <c r="AH20" s="1306"/>
      <c r="AI20" s="1193">
        <f t="shared" ref="AI20:AI22" si="8">AG20/B10</f>
        <v>0.30434782608695654</v>
      </c>
    </row>
    <row r="21" spans="4:35" ht="15.75" thickBot="1">
      <c r="H21" s="478" t="s">
        <v>53</v>
      </c>
      <c r="I21" s="1339">
        <v>0</v>
      </c>
      <c r="J21" s="1251"/>
      <c r="K21" s="414">
        <f t="shared" si="1"/>
        <v>0</v>
      </c>
      <c r="L21" s="1339">
        <v>0</v>
      </c>
      <c r="M21" s="1251"/>
      <c r="N21" s="414">
        <v>0</v>
      </c>
      <c r="O21" s="1252">
        <v>1</v>
      </c>
      <c r="P21" s="1253"/>
      <c r="Q21" s="798">
        <f t="shared" si="2"/>
        <v>4.5454545454545456E-2</v>
      </c>
      <c r="R21" s="1252">
        <v>11</v>
      </c>
      <c r="S21" s="1253"/>
      <c r="T21" s="798">
        <f t="shared" si="3"/>
        <v>0.5</v>
      </c>
      <c r="U21" s="1301">
        <v>10</v>
      </c>
      <c r="V21" s="1301"/>
      <c r="W21" s="1198">
        <f t="shared" si="4"/>
        <v>0.45454545454545453</v>
      </c>
      <c r="X21" s="1351">
        <v>18</v>
      </c>
      <c r="Y21" s="1351"/>
      <c r="Z21" s="1199">
        <f t="shared" si="5"/>
        <v>0.81818181818181823</v>
      </c>
      <c r="AA21" s="1323">
        <v>8</v>
      </c>
      <c r="AB21" s="1323"/>
      <c r="AC21" s="1192">
        <f t="shared" ref="AC21:AC22" si="9">AA21/B10</f>
        <v>0.34782608695652173</v>
      </c>
      <c r="AD21" s="1306">
        <v>16</v>
      </c>
      <c r="AE21" s="1306"/>
      <c r="AF21" s="1193">
        <f t="shared" si="6"/>
        <v>0.72727272727272729</v>
      </c>
      <c r="AG21" s="1306">
        <f t="shared" si="7"/>
        <v>6</v>
      </c>
      <c r="AH21" s="1306"/>
      <c r="AI21" s="1193">
        <f t="shared" si="8"/>
        <v>0.27272727272727271</v>
      </c>
    </row>
    <row r="22" spans="4:35" ht="15.75" thickBot="1">
      <c r="H22" s="478" t="s">
        <v>54</v>
      </c>
      <c r="I22" s="1339">
        <v>1</v>
      </c>
      <c r="J22" s="1251"/>
      <c r="K22" s="414">
        <f t="shared" si="1"/>
        <v>4.3478260869565216E-2</v>
      </c>
      <c r="L22" s="1339">
        <v>1</v>
      </c>
      <c r="M22" s="1251"/>
      <c r="N22" s="414">
        <f>L22/B12</f>
        <v>4.3478260869565216E-2</v>
      </c>
      <c r="O22" s="1252">
        <v>1</v>
      </c>
      <c r="P22" s="1253"/>
      <c r="Q22" s="798">
        <f t="shared" si="2"/>
        <v>4.3478260869565216E-2</v>
      </c>
      <c r="R22" s="1252">
        <v>14</v>
      </c>
      <c r="S22" s="1253"/>
      <c r="T22" s="798">
        <f t="shared" si="3"/>
        <v>0.60869565217391308</v>
      </c>
      <c r="U22" s="1301">
        <v>10</v>
      </c>
      <c r="V22" s="1301"/>
      <c r="W22" s="1198">
        <f t="shared" si="4"/>
        <v>0.43478260869565216</v>
      </c>
      <c r="X22" s="1351">
        <v>19</v>
      </c>
      <c r="Y22" s="1351"/>
      <c r="Z22" s="1199">
        <f t="shared" si="5"/>
        <v>0.82608695652173914</v>
      </c>
      <c r="AA22" s="1323">
        <v>10</v>
      </c>
      <c r="AB22" s="1323"/>
      <c r="AC22" s="1192">
        <f t="shared" si="9"/>
        <v>0.45454545454545453</v>
      </c>
      <c r="AD22" s="1306">
        <v>19</v>
      </c>
      <c r="AE22" s="1306"/>
      <c r="AF22" s="1193">
        <f t="shared" si="6"/>
        <v>0.82608695652173914</v>
      </c>
      <c r="AG22" s="1306">
        <f t="shared" si="7"/>
        <v>4</v>
      </c>
      <c r="AH22" s="1306"/>
      <c r="AI22" s="1193">
        <f t="shared" si="8"/>
        <v>0.17391304347826086</v>
      </c>
    </row>
    <row r="23" spans="4:35" ht="15.75" thickBot="1">
      <c r="H23" s="478" t="s">
        <v>0</v>
      </c>
      <c r="I23" s="1343">
        <f>SUM(I19:I22)</f>
        <v>1</v>
      </c>
      <c r="J23" s="1247"/>
      <c r="K23" s="824">
        <f>I23/B13</f>
        <v>1.1627906976744186E-2</v>
      </c>
      <c r="L23" s="1343">
        <f>SUM(L19:L22)</f>
        <v>1</v>
      </c>
      <c r="M23" s="1247"/>
      <c r="N23" s="824">
        <f>L23/B13</f>
        <v>1.1627906976744186E-2</v>
      </c>
      <c r="O23" s="1246">
        <f>SUM(O19:P22)</f>
        <v>2</v>
      </c>
      <c r="P23" s="1247"/>
      <c r="Q23" s="194">
        <f>O23/B13</f>
        <v>2.3255813953488372E-2</v>
      </c>
      <c r="R23" s="1246">
        <f>SUM(R19:S22)</f>
        <v>50</v>
      </c>
      <c r="S23" s="1247"/>
      <c r="T23" s="194">
        <f>R23/B13</f>
        <v>0.58139534883720934</v>
      </c>
      <c r="U23" s="1305">
        <f>SUM(U17:U22)</f>
        <v>40</v>
      </c>
      <c r="V23" s="1305"/>
      <c r="W23" s="1200">
        <f>U23/B13</f>
        <v>0.46511627906976744</v>
      </c>
      <c r="X23" s="1305">
        <f>SUM(X17:Y22)</f>
        <v>69</v>
      </c>
      <c r="Y23" s="1305"/>
      <c r="Z23" s="1200">
        <f>X23/B13</f>
        <v>0.80232558139534882</v>
      </c>
      <c r="AA23" s="1322">
        <f>SUM(AA17:AA22)</f>
        <v>38</v>
      </c>
      <c r="AB23" s="1322"/>
      <c r="AC23" s="1194">
        <f>AA23/B13</f>
        <v>0.44186046511627908</v>
      </c>
      <c r="AD23" s="1322">
        <f>SUM(AD17:AE22)</f>
        <v>63</v>
      </c>
      <c r="AE23" s="1322"/>
      <c r="AF23" s="1194">
        <f>AD23/B13</f>
        <v>0.73255813953488369</v>
      </c>
      <c r="AG23" s="1322">
        <f>SUM(AG17:AH22)</f>
        <v>23</v>
      </c>
      <c r="AH23" s="1322"/>
      <c r="AI23" s="1194">
        <f>AG23/B13</f>
        <v>0.26744186046511625</v>
      </c>
    </row>
  </sheetData>
  <mergeCells count="87">
    <mergeCell ref="E6:F6"/>
    <mergeCell ref="X23:Y23"/>
    <mergeCell ref="X21:Y21"/>
    <mergeCell ref="I22:J22"/>
    <mergeCell ref="L22:M22"/>
    <mergeCell ref="O22:P22"/>
    <mergeCell ref="R22:S22"/>
    <mergeCell ref="U22:V22"/>
    <mergeCell ref="X22:Y22"/>
    <mergeCell ref="I21:J21"/>
    <mergeCell ref="L21:M21"/>
    <mergeCell ref="O21:P21"/>
    <mergeCell ref="R21:S21"/>
    <mergeCell ref="U21:V21"/>
    <mergeCell ref="I23:J23"/>
    <mergeCell ref="L23:M23"/>
    <mergeCell ref="O23:P23"/>
    <mergeCell ref="I19:J19"/>
    <mergeCell ref="L19:M19"/>
    <mergeCell ref="O19:P19"/>
    <mergeCell ref="R19:S19"/>
    <mergeCell ref="I20:J20"/>
    <mergeCell ref="U19:V19"/>
    <mergeCell ref="L20:M20"/>
    <mergeCell ref="O20:P20"/>
    <mergeCell ref="R20:S20"/>
    <mergeCell ref="U20:V20"/>
    <mergeCell ref="X20:Y20"/>
    <mergeCell ref="R23:S23"/>
    <mergeCell ref="U23:V23"/>
    <mergeCell ref="X16:Z16"/>
    <mergeCell ref="I17:J18"/>
    <mergeCell ref="L17:M18"/>
    <mergeCell ref="O17:P18"/>
    <mergeCell ref="R17:S18"/>
    <mergeCell ref="U17:V18"/>
    <mergeCell ref="X17:Y18"/>
    <mergeCell ref="I16:K16"/>
    <mergeCell ref="L16:N16"/>
    <mergeCell ref="O16:Q16"/>
    <mergeCell ref="R16:T16"/>
    <mergeCell ref="U16:W16"/>
    <mergeCell ref="X19:Y19"/>
    <mergeCell ref="W6:X6"/>
    <mergeCell ref="A1:AF2"/>
    <mergeCell ref="A6:A8"/>
    <mergeCell ref="C6:D6"/>
    <mergeCell ref="G6:H6"/>
    <mergeCell ref="I6:J6"/>
    <mergeCell ref="Y6:Z6"/>
    <mergeCell ref="K6:L6"/>
    <mergeCell ref="A3:AF4"/>
    <mergeCell ref="O6:P6"/>
    <mergeCell ref="Q6:R6"/>
    <mergeCell ref="AA6:AB6"/>
    <mergeCell ref="U6:V6"/>
    <mergeCell ref="S6:T6"/>
    <mergeCell ref="AC6:AD6"/>
    <mergeCell ref="M6:N6"/>
    <mergeCell ref="AA22:AB22"/>
    <mergeCell ref="AA23:AB23"/>
    <mergeCell ref="AA16:AC16"/>
    <mergeCell ref="AA17:AB18"/>
    <mergeCell ref="AA19:AB19"/>
    <mergeCell ref="AA20:AB20"/>
    <mergeCell ref="AA21:AB21"/>
    <mergeCell ref="U15:Z15"/>
    <mergeCell ref="AA15:AI15"/>
    <mergeCell ref="AD16:AF16"/>
    <mergeCell ref="AG16:AI16"/>
    <mergeCell ref="W17:W18"/>
    <mergeCell ref="Z17:Z18"/>
    <mergeCell ref="AC17:AC18"/>
    <mergeCell ref="AD17:AE18"/>
    <mergeCell ref="AF17:AF18"/>
    <mergeCell ref="AG17:AH18"/>
    <mergeCell ref="AI17:AI18"/>
    <mergeCell ref="AD19:AE19"/>
    <mergeCell ref="AD20:AE20"/>
    <mergeCell ref="AD21:AE21"/>
    <mergeCell ref="AD22:AE22"/>
    <mergeCell ref="AD23:AE23"/>
    <mergeCell ref="AG19:AH19"/>
    <mergeCell ref="AG20:AH20"/>
    <mergeCell ref="AG21:AH21"/>
    <mergeCell ref="AG22:AH22"/>
    <mergeCell ref="AG23:AH23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useFirstPageNumber="1" r:id="rId1"/>
  <headerFooter>
    <oddHeader>&amp;L&amp;"Trebuchet MS,Negrito"&amp;12&amp;K01+014AGRUPAMENTO DE ESCOLAS MIGUEL TORGA&amp;C
&amp;R&amp;"Trebuchet MS,Negrito itálico"&amp;12AUTOAVALIAÇÃO
3ºPeríodo  2012/13
Tabela X</oddHeader>
    <oddFooter>&amp;C
&amp;R11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14B0"/>
  </sheetPr>
  <dimension ref="A1:AM34"/>
  <sheetViews>
    <sheetView showGridLines="0" zoomScale="90" zoomScaleNormal="90" zoomScalePageLayoutView="81" workbookViewId="0">
      <selection activeCell="R20" sqref="R20:S20"/>
    </sheetView>
  </sheetViews>
  <sheetFormatPr defaultRowHeight="12.75"/>
  <cols>
    <col min="1" max="1" width="8.7109375" style="335" customWidth="1"/>
    <col min="2" max="2" width="5.5703125" style="335" customWidth="1"/>
    <col min="3" max="3" width="4.28515625" style="335" customWidth="1"/>
    <col min="4" max="4" width="5.28515625" style="335" bestFit="1" customWidth="1"/>
    <col min="5" max="5" width="4.140625" style="335" customWidth="1"/>
    <col min="6" max="6" width="5.28515625" style="335" bestFit="1" customWidth="1"/>
    <col min="7" max="7" width="3.85546875" style="335" customWidth="1"/>
    <col min="8" max="8" width="5.28515625" style="335" bestFit="1" customWidth="1"/>
    <col min="9" max="9" width="4.140625" style="335" customWidth="1"/>
    <col min="10" max="10" width="7.42578125" style="335" bestFit="1" customWidth="1"/>
    <col min="11" max="11" width="4" style="335" customWidth="1"/>
    <col min="12" max="12" width="7.42578125" style="335" bestFit="1" customWidth="1"/>
    <col min="13" max="13" width="4" style="335" customWidth="1"/>
    <col min="14" max="14" width="5.28515625" style="335" bestFit="1" customWidth="1"/>
    <col min="15" max="15" width="3.85546875" style="335" customWidth="1"/>
    <col min="16" max="16" width="5.28515625" style="335" bestFit="1" customWidth="1"/>
    <col min="17" max="17" width="4" style="335" customWidth="1"/>
    <col min="18" max="18" width="4.85546875" style="335" customWidth="1"/>
    <col min="19" max="19" width="5" style="335" customWidth="1"/>
    <col min="20" max="20" width="7.7109375" style="335" bestFit="1" customWidth="1"/>
    <col min="21" max="21" width="4.140625" style="335" customWidth="1"/>
    <col min="22" max="22" width="5.28515625" style="335" bestFit="1" customWidth="1"/>
    <col min="23" max="23" width="4" style="335" customWidth="1"/>
    <col min="24" max="24" width="5.85546875" style="335" customWidth="1"/>
    <col min="25" max="25" width="5" style="335" customWidth="1"/>
    <col min="26" max="26" width="5.85546875" style="335" bestFit="1" customWidth="1"/>
    <col min="27" max="27" width="4.140625" style="335" customWidth="1"/>
    <col min="28" max="28" width="7.7109375" style="335" bestFit="1" customWidth="1"/>
    <col min="29" max="29" width="3.85546875" style="335" customWidth="1"/>
    <col min="30" max="30" width="7.7109375" style="335" bestFit="1" customWidth="1"/>
    <col min="31" max="31" width="4.140625" style="335" customWidth="1"/>
    <col min="32" max="32" width="5.28515625" style="335" bestFit="1" customWidth="1"/>
    <col min="33" max="33" width="4.140625" style="335" customWidth="1"/>
    <col min="34" max="34" width="5.85546875" style="335" bestFit="1" customWidth="1"/>
    <col min="35" max="35" width="4.140625" style="335" customWidth="1"/>
    <col min="36" max="36" width="5.85546875" style="335" bestFit="1" customWidth="1"/>
    <col min="37" max="37" width="4.28515625" style="335" customWidth="1"/>
    <col min="38" max="38" width="5.28515625" style="335" bestFit="1" customWidth="1"/>
  </cols>
  <sheetData>
    <row r="1" spans="1:39">
      <c r="A1" s="1277" t="s">
        <v>93</v>
      </c>
      <c r="B1" s="1277"/>
      <c r="C1" s="1277"/>
      <c r="D1" s="1277"/>
      <c r="E1" s="1277"/>
      <c r="F1" s="1277"/>
      <c r="G1" s="1277"/>
      <c r="H1" s="1277"/>
      <c r="I1" s="1277"/>
      <c r="J1" s="1277"/>
      <c r="K1" s="1277"/>
      <c r="L1" s="1277"/>
      <c r="M1" s="1277"/>
      <c r="N1" s="1277"/>
      <c r="O1" s="1277"/>
      <c r="P1" s="1277"/>
      <c r="Q1" s="1277"/>
      <c r="R1" s="1277"/>
      <c r="S1" s="1277"/>
      <c r="T1" s="1277"/>
      <c r="U1" s="1277"/>
      <c r="V1" s="1277"/>
      <c r="W1" s="1277"/>
      <c r="X1" s="1277"/>
      <c r="Y1" s="1277"/>
      <c r="Z1" s="1277"/>
      <c r="AA1" s="1277"/>
      <c r="AB1" s="1277"/>
      <c r="AC1" s="1277"/>
      <c r="AD1" s="1277"/>
      <c r="AE1" s="1277"/>
      <c r="AF1" s="1277"/>
      <c r="AG1" s="1277"/>
      <c r="AH1" s="1277"/>
      <c r="AI1" s="1277"/>
      <c r="AJ1" s="1277"/>
      <c r="AK1" s="1277"/>
      <c r="AL1" s="1277"/>
    </row>
    <row r="2" spans="1:39">
      <c r="A2" s="1277"/>
      <c r="B2" s="1277"/>
      <c r="C2" s="1277"/>
      <c r="D2" s="1277"/>
      <c r="E2" s="1277"/>
      <c r="F2" s="1277"/>
      <c r="G2" s="1277"/>
      <c r="H2" s="1277"/>
      <c r="I2" s="1277"/>
      <c r="J2" s="1277"/>
      <c r="K2" s="1277"/>
      <c r="L2" s="1277"/>
      <c r="M2" s="1277"/>
      <c r="N2" s="1277"/>
      <c r="O2" s="1277"/>
      <c r="P2" s="1277"/>
      <c r="Q2" s="1277"/>
      <c r="R2" s="1277"/>
      <c r="S2" s="1277"/>
      <c r="T2" s="1277"/>
      <c r="U2" s="1277"/>
      <c r="V2" s="1277"/>
      <c r="W2" s="1277"/>
      <c r="X2" s="1277"/>
      <c r="Y2" s="1277"/>
      <c r="Z2" s="1277"/>
      <c r="AA2" s="1277"/>
      <c r="AB2" s="1277"/>
      <c r="AC2" s="1277"/>
      <c r="AD2" s="1277"/>
      <c r="AE2" s="1277"/>
      <c r="AF2" s="1277"/>
      <c r="AG2" s="1277"/>
      <c r="AH2" s="1277"/>
      <c r="AI2" s="1277"/>
      <c r="AJ2" s="1277"/>
      <c r="AK2" s="1277"/>
      <c r="AL2" s="1277"/>
    </row>
    <row r="3" spans="1:39" ht="25.5">
      <c r="A3" s="1387" t="s">
        <v>489</v>
      </c>
      <c r="B3" s="1387"/>
      <c r="C3" s="1387"/>
      <c r="D3" s="1387"/>
      <c r="E3" s="1387"/>
      <c r="F3" s="1387"/>
      <c r="G3" s="1387"/>
      <c r="H3" s="1387"/>
      <c r="I3" s="1387"/>
      <c r="J3" s="1387"/>
      <c r="K3" s="1387"/>
      <c r="L3" s="1387"/>
      <c r="M3" s="1387"/>
      <c r="N3" s="1387"/>
      <c r="O3" s="1387"/>
      <c r="P3" s="1387"/>
      <c r="Q3" s="1387"/>
      <c r="R3" s="1387"/>
      <c r="S3" s="1387"/>
      <c r="T3" s="1387"/>
      <c r="U3" s="1387"/>
      <c r="V3" s="1387"/>
      <c r="W3" s="1387"/>
      <c r="X3" s="1387"/>
      <c r="Y3" s="1387"/>
      <c r="Z3" s="1387"/>
      <c r="AA3" s="1387"/>
      <c r="AB3" s="1387"/>
      <c r="AC3" s="1387"/>
      <c r="AD3" s="1387"/>
      <c r="AE3" s="1387"/>
      <c r="AF3" s="1387"/>
      <c r="AG3" s="1387"/>
      <c r="AH3" s="1387"/>
      <c r="AI3" s="1387"/>
      <c r="AJ3" s="1387"/>
      <c r="AK3" s="1387"/>
      <c r="AL3" s="1387"/>
    </row>
    <row r="4" spans="1:39" ht="13.5" thickBot="1">
      <c r="AM4" s="15"/>
    </row>
    <row r="5" spans="1:39" ht="12.75" customHeight="1" thickBot="1">
      <c r="A5" s="1240" t="s">
        <v>26</v>
      </c>
      <c r="B5" s="105" t="s">
        <v>7</v>
      </c>
      <c r="C5" s="1368" t="s">
        <v>126</v>
      </c>
      <c r="D5" s="1386" t="s">
        <v>25</v>
      </c>
      <c r="E5" s="1388" t="s">
        <v>44</v>
      </c>
      <c r="F5" s="1386"/>
      <c r="G5" s="1368" t="s">
        <v>55</v>
      </c>
      <c r="H5" s="1386"/>
      <c r="I5" s="1368" t="s">
        <v>56</v>
      </c>
      <c r="J5" s="1386"/>
      <c r="K5" s="1368" t="s">
        <v>57</v>
      </c>
      <c r="L5" s="1386"/>
      <c r="M5" s="1368" t="s">
        <v>122</v>
      </c>
      <c r="N5" s="1386" t="s">
        <v>22</v>
      </c>
      <c r="O5" s="1368" t="s">
        <v>58</v>
      </c>
      <c r="P5" s="1386"/>
      <c r="Q5" s="1368" t="s">
        <v>41</v>
      </c>
      <c r="R5" s="1386"/>
      <c r="S5" s="1368" t="s">
        <v>59</v>
      </c>
      <c r="T5" s="1386"/>
      <c r="U5" s="1384" t="s">
        <v>60</v>
      </c>
      <c r="V5" s="1385"/>
      <c r="W5" s="1384" t="s">
        <v>61</v>
      </c>
      <c r="X5" s="1385"/>
      <c r="Y5" s="1384" t="s">
        <v>64</v>
      </c>
      <c r="Z5" s="1385"/>
      <c r="AA5" s="1384" t="s">
        <v>62</v>
      </c>
      <c r="AB5" s="1385"/>
      <c r="AC5" s="1384" t="s">
        <v>63</v>
      </c>
      <c r="AD5" s="1385"/>
      <c r="AE5" s="1384" t="s">
        <v>551</v>
      </c>
      <c r="AF5" s="1385"/>
      <c r="AG5" s="1384" t="s">
        <v>552</v>
      </c>
      <c r="AH5" s="1385"/>
      <c r="AI5" s="1384" t="s">
        <v>553</v>
      </c>
      <c r="AJ5" s="1385"/>
      <c r="AK5" s="1384" t="s">
        <v>554</v>
      </c>
      <c r="AL5" s="1385"/>
    </row>
    <row r="6" spans="1:39" ht="12.75" customHeight="1">
      <c r="A6" s="1241"/>
      <c r="B6" s="106" t="s">
        <v>19</v>
      </c>
      <c r="C6" s="85" t="s">
        <v>18</v>
      </c>
      <c r="D6" s="85" t="s">
        <v>17</v>
      </c>
      <c r="E6" s="85" t="s">
        <v>18</v>
      </c>
      <c r="F6" s="85" t="s">
        <v>17</v>
      </c>
      <c r="G6" s="85" t="s">
        <v>18</v>
      </c>
      <c r="H6" s="85" t="s">
        <v>17</v>
      </c>
      <c r="I6" s="85" t="s">
        <v>18</v>
      </c>
      <c r="J6" s="85" t="s">
        <v>17</v>
      </c>
      <c r="K6" s="85" t="s">
        <v>18</v>
      </c>
      <c r="L6" s="85" t="s">
        <v>17</v>
      </c>
      <c r="M6" s="85" t="s">
        <v>18</v>
      </c>
      <c r="N6" s="85" t="s">
        <v>17</v>
      </c>
      <c r="O6" s="85" t="s">
        <v>18</v>
      </c>
      <c r="P6" s="85" t="s">
        <v>17</v>
      </c>
      <c r="Q6" s="85" t="s">
        <v>18</v>
      </c>
      <c r="R6" s="85" t="s">
        <v>17</v>
      </c>
      <c r="S6" s="85" t="s">
        <v>18</v>
      </c>
      <c r="T6" s="85" t="s">
        <v>17</v>
      </c>
      <c r="U6" s="85" t="s">
        <v>18</v>
      </c>
      <c r="V6" s="85" t="s">
        <v>17</v>
      </c>
      <c r="W6" s="85" t="s">
        <v>18</v>
      </c>
      <c r="X6" s="85" t="s">
        <v>17</v>
      </c>
      <c r="Y6" s="85" t="s">
        <v>18</v>
      </c>
      <c r="Z6" s="85" t="s">
        <v>17</v>
      </c>
      <c r="AA6" s="85" t="s">
        <v>18</v>
      </c>
      <c r="AB6" s="85" t="s">
        <v>17</v>
      </c>
      <c r="AC6" s="85" t="s">
        <v>18</v>
      </c>
      <c r="AD6" s="85" t="s">
        <v>17</v>
      </c>
      <c r="AE6" s="85" t="s">
        <v>18</v>
      </c>
      <c r="AF6" s="85" t="s">
        <v>17</v>
      </c>
      <c r="AG6" s="85" t="s">
        <v>18</v>
      </c>
      <c r="AH6" s="85" t="s">
        <v>17</v>
      </c>
      <c r="AI6" s="85" t="s">
        <v>18</v>
      </c>
      <c r="AJ6" s="85" t="s">
        <v>17</v>
      </c>
      <c r="AK6" s="85" t="s">
        <v>18</v>
      </c>
      <c r="AL6" s="85" t="s">
        <v>17</v>
      </c>
    </row>
    <row r="7" spans="1:39" ht="13.5" customHeight="1" thickBot="1">
      <c r="A7" s="1242"/>
      <c r="B7" s="107" t="s">
        <v>16</v>
      </c>
      <c r="C7" s="90" t="s">
        <v>323</v>
      </c>
      <c r="D7" s="90" t="s">
        <v>324</v>
      </c>
      <c r="E7" s="90" t="s">
        <v>323</v>
      </c>
      <c r="F7" s="90" t="s">
        <v>324</v>
      </c>
      <c r="G7" s="90" t="s">
        <v>323</v>
      </c>
      <c r="H7" s="90" t="s">
        <v>324</v>
      </c>
      <c r="I7" s="90" t="s">
        <v>323</v>
      </c>
      <c r="J7" s="90" t="s">
        <v>324</v>
      </c>
      <c r="K7" s="90" t="s">
        <v>323</v>
      </c>
      <c r="L7" s="90" t="s">
        <v>324</v>
      </c>
      <c r="M7" s="90" t="s">
        <v>323</v>
      </c>
      <c r="N7" s="90" t="s">
        <v>324</v>
      </c>
      <c r="O7" s="90" t="s">
        <v>323</v>
      </c>
      <c r="P7" s="90" t="s">
        <v>324</v>
      </c>
      <c r="Q7" s="90" t="s">
        <v>323</v>
      </c>
      <c r="R7" s="90" t="s">
        <v>324</v>
      </c>
      <c r="S7" s="90" t="s">
        <v>323</v>
      </c>
      <c r="T7" s="90" t="s">
        <v>324</v>
      </c>
      <c r="U7" s="90" t="s">
        <v>323</v>
      </c>
      <c r="V7" s="90" t="s">
        <v>324</v>
      </c>
      <c r="W7" s="90" t="s">
        <v>323</v>
      </c>
      <c r="X7" s="90" t="s">
        <v>324</v>
      </c>
      <c r="Y7" s="90" t="s">
        <v>323</v>
      </c>
      <c r="Z7" s="90" t="s">
        <v>324</v>
      </c>
      <c r="AA7" s="90" t="s">
        <v>323</v>
      </c>
      <c r="AB7" s="90" t="s">
        <v>324</v>
      </c>
      <c r="AC7" s="90" t="s">
        <v>323</v>
      </c>
      <c r="AD7" s="90" t="s">
        <v>324</v>
      </c>
      <c r="AE7" s="90" t="s">
        <v>323</v>
      </c>
      <c r="AF7" s="90" t="s">
        <v>324</v>
      </c>
      <c r="AG7" s="90" t="s">
        <v>323</v>
      </c>
      <c r="AH7" s="90" t="s">
        <v>324</v>
      </c>
      <c r="AI7" s="90" t="s">
        <v>323</v>
      </c>
      <c r="AJ7" s="90" t="s">
        <v>324</v>
      </c>
      <c r="AK7" s="90" t="s">
        <v>323</v>
      </c>
      <c r="AL7" s="90" t="s">
        <v>324</v>
      </c>
    </row>
    <row r="8" spans="1:39" ht="15.75" thickBot="1">
      <c r="A8" s="88" t="s">
        <v>65</v>
      </c>
      <c r="B8" s="1016">
        <v>16</v>
      </c>
      <c r="C8" s="93">
        <v>8</v>
      </c>
      <c r="D8" s="94">
        <f>(C8/B8)</f>
        <v>0.5</v>
      </c>
      <c r="E8" s="93">
        <v>10</v>
      </c>
      <c r="F8" s="94">
        <f>E8/B8</f>
        <v>0.625</v>
      </c>
      <c r="G8" s="93">
        <v>10</v>
      </c>
      <c r="H8" s="94">
        <f>(G8/B8)</f>
        <v>0.625</v>
      </c>
      <c r="I8" s="93">
        <v>16</v>
      </c>
      <c r="J8" s="94">
        <f>(I8/B8)</f>
        <v>1</v>
      </c>
      <c r="K8" s="93">
        <v>16</v>
      </c>
      <c r="L8" s="94">
        <f>(K8/B8)</f>
        <v>1</v>
      </c>
      <c r="M8" s="93">
        <v>11</v>
      </c>
      <c r="N8" s="94">
        <f>(M8/B8)</f>
        <v>0.6875</v>
      </c>
      <c r="O8" s="93">
        <v>7</v>
      </c>
      <c r="P8" s="94">
        <f>(O8/B8)</f>
        <v>0.4375</v>
      </c>
      <c r="Q8" s="93">
        <v>8</v>
      </c>
      <c r="R8" s="94">
        <f>(Q8/B8)</f>
        <v>0.5</v>
      </c>
      <c r="S8" s="822"/>
      <c r="T8" s="823"/>
      <c r="U8" s="93">
        <v>11</v>
      </c>
      <c r="V8" s="94">
        <f>U8/B8</f>
        <v>0.6875</v>
      </c>
      <c r="W8" s="822"/>
      <c r="X8" s="822"/>
      <c r="Y8" s="806">
        <v>11</v>
      </c>
      <c r="Z8" s="807">
        <f>Y8/B8</f>
        <v>0.6875</v>
      </c>
      <c r="AA8" s="822"/>
      <c r="AB8" s="823"/>
      <c r="AC8" s="822"/>
      <c r="AD8" s="823"/>
      <c r="AE8" s="822"/>
      <c r="AF8" s="823"/>
      <c r="AG8" s="822"/>
      <c r="AH8" s="823"/>
      <c r="AI8" s="822"/>
      <c r="AJ8" s="823"/>
      <c r="AK8" s="822"/>
      <c r="AL8" s="823"/>
    </row>
    <row r="9" spans="1:39" ht="15.75" thickBot="1">
      <c r="A9" s="88" t="s">
        <v>498</v>
      </c>
      <c r="B9" s="1017">
        <v>20</v>
      </c>
      <c r="C9" s="93">
        <v>12</v>
      </c>
      <c r="D9" s="94">
        <f t="shared" ref="D9:D11" si="0">(C9/B9)</f>
        <v>0.6</v>
      </c>
      <c r="E9" s="93">
        <v>14</v>
      </c>
      <c r="F9" s="94">
        <f>(E9/B9)</f>
        <v>0.7</v>
      </c>
      <c r="G9" s="93">
        <v>20</v>
      </c>
      <c r="H9" s="94">
        <f>(G9/B9)</f>
        <v>1</v>
      </c>
      <c r="I9" s="93">
        <v>20</v>
      </c>
      <c r="J9" s="94">
        <f>(I9/B9)</f>
        <v>1</v>
      </c>
      <c r="K9" s="93">
        <v>18</v>
      </c>
      <c r="L9" s="94">
        <f>(K9/B9)</f>
        <v>0.9</v>
      </c>
      <c r="M9" s="93">
        <v>20</v>
      </c>
      <c r="N9" s="94">
        <f>(M9/B9)</f>
        <v>1</v>
      </c>
      <c r="O9" s="93">
        <v>17</v>
      </c>
      <c r="P9" s="94">
        <f>(O9/B9)</f>
        <v>0.85</v>
      </c>
      <c r="Q9" s="806">
        <v>10</v>
      </c>
      <c r="R9" s="807">
        <f>Q9/B9</f>
        <v>0.5</v>
      </c>
      <c r="S9" s="822"/>
      <c r="T9" s="823"/>
      <c r="U9" s="822"/>
      <c r="V9" s="823"/>
      <c r="W9" s="822"/>
      <c r="X9" s="823"/>
      <c r="Y9" s="823"/>
      <c r="Z9" s="823"/>
      <c r="AA9" s="822"/>
      <c r="AB9" s="823"/>
      <c r="AC9" s="822"/>
      <c r="AD9" s="823"/>
      <c r="AE9" s="806">
        <v>11</v>
      </c>
      <c r="AF9" s="807">
        <f>AE9/B9</f>
        <v>0.55000000000000004</v>
      </c>
      <c r="AG9" s="806">
        <v>20</v>
      </c>
      <c r="AH9" s="807">
        <f>AG9/B9</f>
        <v>1</v>
      </c>
      <c r="AI9" s="806">
        <v>20</v>
      </c>
      <c r="AJ9" s="807">
        <f>AI9/B9</f>
        <v>1</v>
      </c>
      <c r="AK9" s="822"/>
      <c r="AL9" s="823"/>
    </row>
    <row r="10" spans="1:39" ht="15.75" thickBot="1">
      <c r="A10" s="88" t="s">
        <v>69</v>
      </c>
      <c r="B10" s="1017">
        <v>8</v>
      </c>
      <c r="C10" s="93">
        <v>7</v>
      </c>
      <c r="D10" s="94">
        <f t="shared" si="0"/>
        <v>0.875</v>
      </c>
      <c r="E10" s="93">
        <v>6</v>
      </c>
      <c r="F10" s="94">
        <f>(E10/B10)</f>
        <v>0.75</v>
      </c>
      <c r="G10" s="93">
        <v>7</v>
      </c>
      <c r="H10" s="94">
        <f>(G10/B10)</f>
        <v>0.875</v>
      </c>
      <c r="I10" s="93">
        <v>6</v>
      </c>
      <c r="J10" s="94">
        <f>(I10/B10)</f>
        <v>0.75</v>
      </c>
      <c r="K10" s="822"/>
      <c r="L10" s="823"/>
      <c r="M10" s="93">
        <v>3</v>
      </c>
      <c r="N10" s="94">
        <f>(M10/B10)</f>
        <v>0.375</v>
      </c>
      <c r="O10" s="93">
        <v>4</v>
      </c>
      <c r="P10" s="94">
        <f>(O10/B10)</f>
        <v>0.5</v>
      </c>
      <c r="Q10" s="806">
        <v>6</v>
      </c>
      <c r="R10" s="807">
        <f>Q10/B10</f>
        <v>0.75</v>
      </c>
      <c r="S10" s="822"/>
      <c r="T10" s="823"/>
      <c r="U10" s="822"/>
      <c r="V10" s="823"/>
      <c r="W10" s="806">
        <v>6</v>
      </c>
      <c r="X10" s="807">
        <f>W10/B10</f>
        <v>0.75</v>
      </c>
      <c r="Y10" s="93">
        <v>6</v>
      </c>
      <c r="Z10" s="94">
        <f>(Y10/B10)</f>
        <v>0.75</v>
      </c>
      <c r="AA10" s="822"/>
      <c r="AB10" s="823"/>
      <c r="AC10" s="822"/>
      <c r="AD10" s="823"/>
      <c r="AE10" s="822"/>
      <c r="AF10" s="823"/>
      <c r="AG10" s="822"/>
      <c r="AH10" s="823"/>
      <c r="AI10" s="822"/>
      <c r="AJ10" s="823"/>
      <c r="AK10" s="822"/>
      <c r="AL10" s="823"/>
    </row>
    <row r="11" spans="1:39" ht="15.75" thickBot="1">
      <c r="A11" s="88" t="s">
        <v>550</v>
      </c>
      <c r="B11" s="1016">
        <v>15</v>
      </c>
      <c r="C11" s="93">
        <v>11</v>
      </c>
      <c r="D11" s="94">
        <f t="shared" si="0"/>
        <v>0.73333333333333328</v>
      </c>
      <c r="E11" s="93">
        <v>12</v>
      </c>
      <c r="F11" s="94">
        <f>(E11/B11)</f>
        <v>0.8</v>
      </c>
      <c r="G11" s="93">
        <v>14</v>
      </c>
      <c r="H11" s="94">
        <f>(G11/B11)</f>
        <v>0.93333333333333335</v>
      </c>
      <c r="I11" s="93">
        <v>15</v>
      </c>
      <c r="J11" s="94">
        <f>(I11/B11)</f>
        <v>1</v>
      </c>
      <c r="K11" s="822"/>
      <c r="L11" s="823"/>
      <c r="M11" s="93">
        <v>13</v>
      </c>
      <c r="N11" s="94">
        <f>(M11/B11)</f>
        <v>0.8666666666666667</v>
      </c>
      <c r="O11" s="93">
        <v>11</v>
      </c>
      <c r="P11" s="94">
        <f>(O11/B11)</f>
        <v>0.73333333333333328</v>
      </c>
      <c r="Q11" s="822"/>
      <c r="R11" s="823"/>
      <c r="S11" s="806">
        <v>13</v>
      </c>
      <c r="T11" s="807">
        <f>S11/B11</f>
        <v>0.8666666666666667</v>
      </c>
      <c r="U11" s="823"/>
      <c r="V11" s="823"/>
      <c r="W11" s="822"/>
      <c r="X11" s="823"/>
      <c r="Y11" s="822"/>
      <c r="Z11" s="823"/>
      <c r="AA11" s="806">
        <v>15</v>
      </c>
      <c r="AB11" s="807">
        <f>AA11/B11</f>
        <v>1</v>
      </c>
      <c r="AC11" s="806">
        <v>15</v>
      </c>
      <c r="AD11" s="807">
        <f>AC11/B11</f>
        <v>1</v>
      </c>
      <c r="AE11" s="822"/>
      <c r="AF11" s="823"/>
      <c r="AG11" s="822"/>
      <c r="AH11" s="823"/>
      <c r="AI11" s="822"/>
      <c r="AJ11" s="823"/>
      <c r="AK11" s="93">
        <v>14</v>
      </c>
      <c r="AL11" s="94">
        <f>AK11/B11</f>
        <v>0.93333333333333335</v>
      </c>
    </row>
    <row r="12" spans="1:39" s="2" customFormat="1" ht="15.75" thickBot="1">
      <c r="A12" s="1018" t="s">
        <v>0</v>
      </c>
      <c r="B12" s="813">
        <f>SUM(B8:B11)</f>
        <v>59</v>
      </c>
      <c r="C12" s="813">
        <f>SUM(C8:C11)</f>
        <v>38</v>
      </c>
      <c r="D12" s="194">
        <f>(C12/B12)</f>
        <v>0.64406779661016944</v>
      </c>
      <c r="E12" s="813">
        <f>SUM(E8:E11)</f>
        <v>42</v>
      </c>
      <c r="F12" s="194">
        <f>(E12/B12)</f>
        <v>0.71186440677966101</v>
      </c>
      <c r="G12" s="813">
        <f>SUM(G8:G11)</f>
        <v>51</v>
      </c>
      <c r="H12" s="194">
        <f>(G12/B12)</f>
        <v>0.86440677966101698</v>
      </c>
      <c r="I12" s="813">
        <f>SUM(I8:I11)</f>
        <v>57</v>
      </c>
      <c r="J12" s="194">
        <f>(I12/B12)</f>
        <v>0.96610169491525422</v>
      </c>
      <c r="K12" s="813">
        <f>SUM(K8:K11)</f>
        <v>34</v>
      </c>
      <c r="L12" s="194">
        <f>(K12/(B8+B9))</f>
        <v>0.94444444444444442</v>
      </c>
      <c r="M12" s="813">
        <f>SUM(M8:M11)</f>
        <v>47</v>
      </c>
      <c r="N12" s="194">
        <f>(M12/B12)</f>
        <v>0.79661016949152541</v>
      </c>
      <c r="O12" s="813">
        <f>SUM(O8:O11)</f>
        <v>39</v>
      </c>
      <c r="P12" s="194">
        <f>(O12/B12)</f>
        <v>0.66101694915254239</v>
      </c>
      <c r="Q12" s="813">
        <f>SUM(Q8:Q11)</f>
        <v>24</v>
      </c>
      <c r="R12" s="194">
        <f>Q12/(B8+B9+B10)</f>
        <v>0.54545454545454541</v>
      </c>
      <c r="S12" s="813">
        <f>SUM(S8:S11)</f>
        <v>13</v>
      </c>
      <c r="T12" s="194">
        <f>(S12/B11)</f>
        <v>0.8666666666666667</v>
      </c>
      <c r="U12" s="813">
        <f>SUM(U8:U11)</f>
        <v>11</v>
      </c>
      <c r="V12" s="194">
        <f>U12/(B8)</f>
        <v>0.6875</v>
      </c>
      <c r="W12" s="813">
        <f>SUM(W8:W11)</f>
        <v>6</v>
      </c>
      <c r="X12" s="194">
        <f>W12/B10</f>
        <v>0.75</v>
      </c>
      <c r="Y12" s="813">
        <f>SUM(Y8:Y11)</f>
        <v>17</v>
      </c>
      <c r="Z12" s="194">
        <f>Y12/(B8+B10)</f>
        <v>0.70833333333333337</v>
      </c>
      <c r="AA12" s="813">
        <f>SUM(AA8:AA11)</f>
        <v>15</v>
      </c>
      <c r="AB12" s="194">
        <f>AA12/B11</f>
        <v>1</v>
      </c>
      <c r="AC12" s="813">
        <f>SUM(AC8:AC11)</f>
        <v>15</v>
      </c>
      <c r="AD12" s="194">
        <f>AC12/B11</f>
        <v>1</v>
      </c>
      <c r="AE12" s="813">
        <f>SUM(AE8:AE11)</f>
        <v>11</v>
      </c>
      <c r="AF12" s="194">
        <f>AE12/B9</f>
        <v>0.55000000000000004</v>
      </c>
      <c r="AG12" s="813">
        <f>SUM(AG8:AG11)</f>
        <v>20</v>
      </c>
      <c r="AH12" s="194">
        <f>AG12/B9</f>
        <v>1</v>
      </c>
      <c r="AI12" s="813">
        <f>SUM(AI8:AI11)</f>
        <v>20</v>
      </c>
      <c r="AJ12" s="194">
        <f>AI12/B9</f>
        <v>1</v>
      </c>
      <c r="AK12" s="813">
        <f>SUM(AK8:AK11)</f>
        <v>14</v>
      </c>
      <c r="AL12" s="194">
        <f>AK12/(B11)</f>
        <v>0.93333333333333335</v>
      </c>
    </row>
    <row r="13" spans="1:39" ht="13.5" thickBot="1">
      <c r="A13" s="495" t="s">
        <v>15</v>
      </c>
      <c r="B13" s="496"/>
      <c r="C13" s="495"/>
      <c r="D13" s="495"/>
      <c r="E13" s="495"/>
      <c r="F13" s="495"/>
      <c r="G13" s="495"/>
      <c r="H13" s="495"/>
      <c r="I13" s="495"/>
      <c r="J13" s="495"/>
      <c r="K13" s="495"/>
      <c r="L13" s="495"/>
      <c r="M13" s="495"/>
      <c r="N13" s="495"/>
      <c r="O13" s="495"/>
      <c r="P13" s="495"/>
      <c r="Q13" s="495"/>
      <c r="R13" s="495"/>
      <c r="S13" s="495"/>
      <c r="T13" s="495"/>
      <c r="U13" s="495"/>
      <c r="V13" s="495"/>
      <c r="W13" s="495"/>
      <c r="X13" s="497"/>
      <c r="Y13" s="495"/>
      <c r="Z13" s="495"/>
      <c r="AA13" s="495"/>
      <c r="AB13" s="495"/>
      <c r="AC13" s="495"/>
      <c r="AD13" s="495"/>
      <c r="AE13" s="495"/>
      <c r="AF13" s="495"/>
      <c r="AG13" s="495"/>
      <c r="AH13" s="495"/>
    </row>
    <row r="14" spans="1:39" ht="14.25" thickBot="1">
      <c r="B14" s="498"/>
      <c r="C14" s="499"/>
      <c r="D14" s="499"/>
      <c r="E14" s="499"/>
      <c r="F14" s="499"/>
      <c r="G14" s="499"/>
      <c r="H14" s="499"/>
      <c r="I14" s="499"/>
      <c r="J14" s="499"/>
      <c r="T14" s="1355" t="s">
        <v>614</v>
      </c>
      <c r="U14" s="1356"/>
      <c r="V14" s="1357"/>
      <c r="W14" s="1355" t="s">
        <v>283</v>
      </c>
      <c r="X14" s="1356"/>
      <c r="Y14" s="1357"/>
      <c r="Z14" s="1355" t="s">
        <v>595</v>
      </c>
      <c r="AA14" s="1356"/>
      <c r="AB14" s="1357"/>
    </row>
    <row r="15" spans="1:39" ht="15.75" customHeight="1" thickBot="1">
      <c r="B15" s="500"/>
      <c r="C15" s="499"/>
      <c r="D15" s="499"/>
      <c r="E15" s="499"/>
      <c r="F15" s="499"/>
      <c r="G15" s="499"/>
      <c r="H15" s="499"/>
      <c r="I15" s="499"/>
      <c r="J15" s="501"/>
      <c r="K15" s="494"/>
      <c r="L15" s="1381" t="s">
        <v>13</v>
      </c>
      <c r="M15" s="1382"/>
      <c r="N15" s="1382"/>
      <c r="O15" s="1382"/>
      <c r="P15" s="1382"/>
      <c r="Q15" s="1382"/>
      <c r="R15" s="1382"/>
      <c r="S15" s="1382"/>
      <c r="T15" s="1266" t="s">
        <v>546</v>
      </c>
      <c r="U15" s="1267"/>
      <c r="V15" s="1116" t="s">
        <v>147</v>
      </c>
      <c r="W15" s="1266" t="s">
        <v>546</v>
      </c>
      <c r="X15" s="1267"/>
      <c r="Y15" s="1028" t="s">
        <v>147</v>
      </c>
      <c r="Z15" s="1266" t="s">
        <v>546</v>
      </c>
      <c r="AA15" s="1267"/>
      <c r="AB15" s="1028" t="s">
        <v>147</v>
      </c>
    </row>
    <row r="16" spans="1:39" ht="27.75" customHeight="1" thickBot="1">
      <c r="J16" s="501"/>
      <c r="K16" s="494"/>
      <c r="L16" s="1383" t="s">
        <v>66</v>
      </c>
      <c r="M16" s="1383"/>
      <c r="N16" s="1383" t="s">
        <v>67</v>
      </c>
      <c r="O16" s="1383"/>
      <c r="P16" s="1383" t="s">
        <v>203</v>
      </c>
      <c r="Q16" s="1383"/>
      <c r="R16" s="1383" t="s">
        <v>499</v>
      </c>
      <c r="S16" s="1383"/>
      <c r="T16" s="1245"/>
      <c r="U16" s="1371"/>
      <c r="V16" s="1117"/>
      <c r="W16" s="1245"/>
      <c r="X16" s="1371"/>
      <c r="Y16" s="1029"/>
      <c r="Z16" s="1245"/>
      <c r="AA16" s="1371"/>
      <c r="AB16" s="1029"/>
    </row>
    <row r="17" spans="1:38" ht="15.75" thickBot="1">
      <c r="A17" s="501"/>
      <c r="B17" s="502"/>
      <c r="C17" s="501"/>
      <c r="D17" s="501"/>
      <c r="E17" s="501"/>
      <c r="J17" s="1377" t="s">
        <v>68</v>
      </c>
      <c r="K17" s="1378"/>
      <c r="L17" s="1379">
        <v>4</v>
      </c>
      <c r="M17" s="1379"/>
      <c r="N17" s="1379">
        <v>0</v>
      </c>
      <c r="O17" s="1379"/>
      <c r="P17" s="1379">
        <v>6</v>
      </c>
      <c r="Q17" s="1379"/>
      <c r="R17" s="1379">
        <v>6</v>
      </c>
      <c r="S17" s="1379"/>
      <c r="T17" s="1254">
        <v>11</v>
      </c>
      <c r="U17" s="1255"/>
      <c r="V17" s="799">
        <f>T17/B8</f>
        <v>0.6875</v>
      </c>
      <c r="W17" s="1254">
        <v>11</v>
      </c>
      <c r="X17" s="1255"/>
      <c r="Y17" s="799">
        <f>W17/B8</f>
        <v>0.6875</v>
      </c>
      <c r="Z17" s="1254">
        <f>B8-W17</f>
        <v>5</v>
      </c>
      <c r="AA17" s="1255"/>
      <c r="AB17" s="799">
        <f>Z17/B8</f>
        <v>0.3125</v>
      </c>
    </row>
    <row r="18" spans="1:38" ht="18" customHeight="1" thickBot="1">
      <c r="A18" s="501"/>
      <c r="B18" s="502"/>
      <c r="C18" s="501"/>
      <c r="D18" s="501"/>
      <c r="E18" s="501"/>
      <c r="J18" s="1377" t="s">
        <v>498</v>
      </c>
      <c r="K18" s="1378"/>
      <c r="L18" s="1379">
        <v>2</v>
      </c>
      <c r="M18" s="1379"/>
      <c r="N18" s="1379">
        <v>0</v>
      </c>
      <c r="O18" s="1379"/>
      <c r="P18" s="1379">
        <v>2</v>
      </c>
      <c r="Q18" s="1379"/>
      <c r="R18" s="1379">
        <v>1</v>
      </c>
      <c r="S18" s="1379"/>
      <c r="T18" s="1254">
        <v>7</v>
      </c>
      <c r="U18" s="1255"/>
      <c r="V18" s="799">
        <f t="shared" ref="V18:V20" si="1">T18/B9</f>
        <v>0.35</v>
      </c>
      <c r="W18" s="1254">
        <v>18</v>
      </c>
      <c r="X18" s="1255"/>
      <c r="Y18" s="799">
        <f>W18/B9</f>
        <v>0.9</v>
      </c>
      <c r="Z18" s="1254">
        <f>B9-W18</f>
        <v>2</v>
      </c>
      <c r="AA18" s="1255"/>
      <c r="AB18" s="799">
        <f>Z18/B9</f>
        <v>0.1</v>
      </c>
    </row>
    <row r="19" spans="1:38" ht="15.75" thickBot="1">
      <c r="A19" s="501"/>
      <c r="B19" s="501"/>
      <c r="C19" s="501"/>
      <c r="D19" s="501"/>
      <c r="E19" s="501"/>
      <c r="J19" s="1377" t="s">
        <v>69</v>
      </c>
      <c r="K19" s="1378"/>
      <c r="L19" s="1379">
        <v>4</v>
      </c>
      <c r="M19" s="1379"/>
      <c r="N19" s="1379">
        <v>0</v>
      </c>
      <c r="O19" s="1379"/>
      <c r="P19" s="1379">
        <v>3</v>
      </c>
      <c r="Q19" s="1379"/>
      <c r="R19" s="1379">
        <v>3</v>
      </c>
      <c r="S19" s="1379"/>
      <c r="T19" s="1254">
        <v>2</v>
      </c>
      <c r="U19" s="1255"/>
      <c r="V19" s="799">
        <f t="shared" si="1"/>
        <v>0.25</v>
      </c>
      <c r="W19" s="1254">
        <v>4</v>
      </c>
      <c r="X19" s="1255"/>
      <c r="Y19" s="799">
        <f>W19/B10</f>
        <v>0.5</v>
      </c>
      <c r="Z19" s="1254">
        <f>B10-W19</f>
        <v>4</v>
      </c>
      <c r="AA19" s="1255"/>
      <c r="AB19" s="799">
        <f>Z19/B10</f>
        <v>0.5</v>
      </c>
    </row>
    <row r="20" spans="1:38" ht="15.75" thickBot="1">
      <c r="A20" s="501"/>
      <c r="B20" s="501"/>
      <c r="C20" s="501"/>
      <c r="D20" s="501"/>
      <c r="E20" s="501"/>
      <c r="J20" s="1377" t="s">
        <v>550</v>
      </c>
      <c r="K20" s="1378"/>
      <c r="L20" s="1379">
        <v>0</v>
      </c>
      <c r="M20" s="1379"/>
      <c r="N20" s="1379">
        <v>0</v>
      </c>
      <c r="O20" s="1379"/>
      <c r="P20" s="1379">
        <v>0</v>
      </c>
      <c r="Q20" s="1379"/>
      <c r="R20" s="1379">
        <v>0</v>
      </c>
      <c r="S20" s="1379"/>
      <c r="T20" s="1345">
        <v>11</v>
      </c>
      <c r="U20" s="1346"/>
      <c r="V20" s="799">
        <f t="shared" si="1"/>
        <v>0.73333333333333328</v>
      </c>
      <c r="W20" s="1345">
        <v>14</v>
      </c>
      <c r="X20" s="1346"/>
      <c r="Y20" s="799">
        <f>W20/B11</f>
        <v>0.93333333333333335</v>
      </c>
      <c r="Z20" s="1254">
        <f>B11-W20</f>
        <v>1</v>
      </c>
      <c r="AA20" s="1255"/>
      <c r="AB20" s="799">
        <f>Z20/B11</f>
        <v>6.6666666666666666E-2</v>
      </c>
    </row>
    <row r="21" spans="1:38" ht="15.75" thickBot="1">
      <c r="E21" s="501"/>
      <c r="J21" s="1380" t="s">
        <v>0</v>
      </c>
      <c r="K21" s="1380"/>
      <c r="L21" s="1375">
        <f>SUM(L17:M20)</f>
        <v>10</v>
      </c>
      <c r="M21" s="1376"/>
      <c r="N21" s="1375">
        <f>SUM(N17:O20)</f>
        <v>0</v>
      </c>
      <c r="O21" s="1376"/>
      <c r="P21" s="1375">
        <f>SUM(P17:Q20)</f>
        <v>11</v>
      </c>
      <c r="Q21" s="1376"/>
      <c r="R21" s="1375">
        <f>SUM(R17:S20)</f>
        <v>10</v>
      </c>
      <c r="S21" s="1376"/>
      <c r="T21" s="1276">
        <f>SUM(T17:U20)</f>
        <v>31</v>
      </c>
      <c r="U21" s="1249"/>
      <c r="V21" s="802">
        <f>T21/B12</f>
        <v>0.52542372881355937</v>
      </c>
      <c r="W21" s="1276">
        <f>SUM(W17:X20)</f>
        <v>47</v>
      </c>
      <c r="X21" s="1249"/>
      <c r="Y21" s="802">
        <f>W21/B12</f>
        <v>0.79661016949152541</v>
      </c>
      <c r="Z21" s="1276">
        <f>SUM(Z17:AA20)</f>
        <v>12</v>
      </c>
      <c r="AA21" s="1249"/>
      <c r="AB21" s="802">
        <f>Z21/B12</f>
        <v>0.20338983050847459</v>
      </c>
    </row>
    <row r="22" spans="1:38" ht="14.25">
      <c r="E22" s="503"/>
      <c r="L22" s="1013"/>
      <c r="M22" s="1013"/>
      <c r="N22" s="1013"/>
      <c r="O22" s="1013"/>
      <c r="P22" s="1014"/>
      <c r="Q22" s="1014"/>
      <c r="R22" s="1014"/>
      <c r="S22" s="1014"/>
      <c r="T22" s="501"/>
      <c r="U22" s="501"/>
      <c r="V22" s="501"/>
      <c r="W22" s="501"/>
      <c r="X22" s="501"/>
      <c r="Y22" s="501"/>
      <c r="Z22" s="501"/>
    </row>
    <row r="23" spans="1:38" ht="14.25">
      <c r="E23" s="504"/>
      <c r="P23" s="501"/>
      <c r="Q23" s="501"/>
      <c r="R23" s="501"/>
      <c r="S23" s="501"/>
      <c r="T23" s="501"/>
      <c r="U23" s="501"/>
      <c r="V23" s="501"/>
      <c r="W23" s="501"/>
      <c r="X23" s="501"/>
      <c r="Y23" s="501"/>
      <c r="Z23" s="501"/>
    </row>
    <row r="24" spans="1:38"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</row>
    <row r="25" spans="1:38">
      <c r="O25"/>
      <c r="P25"/>
      <c r="Q25"/>
      <c r="R25"/>
      <c r="S25"/>
      <c r="Z25"/>
      <c r="AA25"/>
      <c r="AB25"/>
      <c r="AC25"/>
      <c r="AD25"/>
      <c r="AE25"/>
      <c r="AF25"/>
      <c r="AG25"/>
      <c r="AH25"/>
      <c r="AI25"/>
      <c r="AJ25"/>
      <c r="AK25"/>
      <c r="AL25"/>
    </row>
    <row r="26" spans="1:38" ht="14.25">
      <c r="E26" s="504"/>
      <c r="F26" s="504"/>
      <c r="G26" s="501"/>
      <c r="H26" s="501"/>
      <c r="I26" s="501"/>
      <c r="J26" s="501"/>
      <c r="K26" s="501"/>
      <c r="L26" s="501"/>
      <c r="M26" s="501"/>
      <c r="N26" s="501"/>
      <c r="O26" s="501"/>
      <c r="P26" s="501"/>
      <c r="Q26" s="501"/>
      <c r="R26" s="501"/>
      <c r="S26" s="501"/>
      <c r="Z26" s="501"/>
    </row>
    <row r="27" spans="1:38" ht="14.25">
      <c r="E27" s="504"/>
      <c r="F27" s="504"/>
      <c r="G27" s="501"/>
      <c r="H27" s="501"/>
      <c r="I27" s="501"/>
      <c r="J27" s="501"/>
      <c r="K27" s="501"/>
      <c r="L27" s="501"/>
      <c r="M27" s="501"/>
      <c r="N27" s="501"/>
      <c r="O27" s="501"/>
      <c r="P27" s="501"/>
      <c r="Q27" s="501"/>
      <c r="R27" s="501"/>
      <c r="S27" s="501"/>
      <c r="Z27" s="501"/>
    </row>
    <row r="28" spans="1:38" ht="14.25">
      <c r="A28" s="505"/>
      <c r="B28" s="505"/>
      <c r="C28" s="505"/>
      <c r="D28" s="505"/>
      <c r="E28" s="506"/>
      <c r="F28" s="505"/>
      <c r="G28" s="501"/>
      <c r="H28" s="501"/>
      <c r="I28" s="501"/>
      <c r="J28" s="501"/>
      <c r="K28" s="501"/>
      <c r="L28" s="501"/>
      <c r="M28" s="501"/>
      <c r="N28" s="501"/>
      <c r="O28" s="501"/>
      <c r="P28" s="501"/>
      <c r="Q28" s="501"/>
      <c r="R28" s="501"/>
      <c r="S28" s="501"/>
      <c r="Z28" s="501"/>
    </row>
    <row r="29" spans="1:38" ht="14.25">
      <c r="A29" s="505"/>
      <c r="B29" s="505"/>
      <c r="C29" s="505"/>
      <c r="D29" s="505"/>
      <c r="E29" s="505"/>
      <c r="F29" s="505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  <c r="R29" s="501"/>
      <c r="S29" s="501"/>
      <c r="Z29" s="501"/>
    </row>
    <row r="30" spans="1:38" ht="14.25">
      <c r="A30" s="505"/>
      <c r="B30" s="505"/>
      <c r="C30" s="505"/>
      <c r="D30" s="505"/>
      <c r="E30" s="505"/>
      <c r="F30" s="505"/>
      <c r="G30" s="501"/>
      <c r="H30" s="501"/>
      <c r="I30" s="501"/>
      <c r="J30" s="501"/>
      <c r="K30" s="501"/>
      <c r="L30" s="501"/>
      <c r="M30" s="501"/>
      <c r="N30" s="501"/>
      <c r="O30" s="501"/>
      <c r="P30" s="501"/>
      <c r="Q30" s="501"/>
      <c r="R30" s="501"/>
      <c r="S30" s="501"/>
      <c r="Z30" s="501"/>
    </row>
    <row r="31" spans="1:38" ht="14.25">
      <c r="A31" s="501"/>
      <c r="B31" s="501"/>
      <c r="C31" s="501"/>
      <c r="D31" s="501"/>
      <c r="E31" s="501"/>
      <c r="F31" s="501"/>
      <c r="G31" s="501"/>
      <c r="H31" s="503"/>
      <c r="I31" s="499"/>
      <c r="J31" s="499"/>
      <c r="K31" s="499"/>
      <c r="L31" s="499"/>
      <c r="M31" s="499"/>
      <c r="N31" s="499"/>
      <c r="O31" s="499"/>
      <c r="P31" s="499"/>
      <c r="Q31" s="499"/>
      <c r="R31" s="499"/>
      <c r="S31" s="499"/>
      <c r="Z31" s="499"/>
    </row>
    <row r="32" spans="1:38" ht="14.25">
      <c r="A32" s="501"/>
      <c r="B32" s="501"/>
      <c r="C32" s="501"/>
      <c r="D32" s="501"/>
      <c r="E32" s="501"/>
      <c r="F32" s="501"/>
      <c r="G32" s="501"/>
      <c r="H32" s="499"/>
      <c r="I32" s="499"/>
      <c r="J32" s="499"/>
      <c r="K32" s="499"/>
      <c r="L32" s="499"/>
      <c r="M32" s="499"/>
      <c r="N32" s="499"/>
      <c r="O32" s="499"/>
      <c r="P32" s="499"/>
      <c r="Q32" s="499"/>
      <c r="R32" s="499"/>
      <c r="S32" s="499"/>
      <c r="Z32" s="499"/>
    </row>
    <row r="33" spans="1:26" ht="14.25">
      <c r="A33" s="501"/>
      <c r="B33" s="501"/>
      <c r="C33" s="501"/>
      <c r="D33" s="501"/>
      <c r="E33" s="501"/>
      <c r="F33" s="501"/>
      <c r="G33" s="501"/>
      <c r="H33" s="501"/>
      <c r="I33" s="503"/>
      <c r="J33" s="499"/>
      <c r="K33" s="499"/>
      <c r="L33" s="499"/>
      <c r="M33" s="499"/>
      <c r="N33" s="499"/>
      <c r="O33" s="499"/>
      <c r="P33" s="499"/>
      <c r="Q33" s="499"/>
      <c r="R33" s="499"/>
      <c r="S33" s="499"/>
      <c r="T33" s="499"/>
      <c r="U33" s="499"/>
      <c r="V33" s="499"/>
      <c r="W33" s="499"/>
      <c r="X33" s="499"/>
      <c r="Y33" s="499"/>
      <c r="Z33" s="499"/>
    </row>
    <row r="34" spans="1:26" ht="14.25">
      <c r="A34" s="501"/>
      <c r="B34" s="501"/>
      <c r="C34" s="501"/>
      <c r="D34" s="501"/>
      <c r="E34" s="501"/>
      <c r="F34" s="501"/>
      <c r="G34" s="501"/>
      <c r="H34" s="501"/>
      <c r="I34" s="499"/>
      <c r="J34" s="499"/>
      <c r="K34" s="499"/>
      <c r="L34" s="499"/>
      <c r="M34" s="499"/>
      <c r="N34" s="499"/>
      <c r="O34" s="499"/>
      <c r="P34" s="499"/>
      <c r="Q34" s="499"/>
      <c r="R34" s="499"/>
      <c r="S34" s="499"/>
      <c r="T34" s="499"/>
      <c r="U34" s="499"/>
      <c r="V34" s="499"/>
      <c r="W34" s="499"/>
      <c r="X34" s="499"/>
      <c r="Y34" s="499"/>
      <c r="Z34" s="499"/>
    </row>
  </sheetData>
  <mergeCells count="72">
    <mergeCell ref="T20:U20"/>
    <mergeCell ref="T21:U21"/>
    <mergeCell ref="T14:V14"/>
    <mergeCell ref="T15:U16"/>
    <mergeCell ref="T17:U17"/>
    <mergeCell ref="T18:U18"/>
    <mergeCell ref="T19:U19"/>
    <mergeCell ref="A1:AL2"/>
    <mergeCell ref="A3:AL3"/>
    <mergeCell ref="AI5:AJ5"/>
    <mergeCell ref="AK5:AL5"/>
    <mergeCell ref="U5:V5"/>
    <mergeCell ref="A5:A7"/>
    <mergeCell ref="G5:H5"/>
    <mergeCell ref="K5:L5"/>
    <mergeCell ref="O5:P5"/>
    <mergeCell ref="I5:J5"/>
    <mergeCell ref="C5:D5"/>
    <mergeCell ref="E5:F5"/>
    <mergeCell ref="M5:N5"/>
    <mergeCell ref="Q5:R5"/>
    <mergeCell ref="AG5:AH5"/>
    <mergeCell ref="Y5:Z5"/>
    <mergeCell ref="W5:X5"/>
    <mergeCell ref="S5:T5"/>
    <mergeCell ref="AA5:AB5"/>
    <mergeCell ref="AC5:AD5"/>
    <mergeCell ref="AE5:AF5"/>
    <mergeCell ref="L15:S15"/>
    <mergeCell ref="L16:M16"/>
    <mergeCell ref="N16:O16"/>
    <mergeCell ref="P16:Q16"/>
    <mergeCell ref="R16:S16"/>
    <mergeCell ref="J17:K17"/>
    <mergeCell ref="L17:M17"/>
    <mergeCell ref="N17:O17"/>
    <mergeCell ref="P17:Q17"/>
    <mergeCell ref="R19:S19"/>
    <mergeCell ref="J18:K18"/>
    <mergeCell ref="L18:M18"/>
    <mergeCell ref="N18:O18"/>
    <mergeCell ref="P18:Q18"/>
    <mergeCell ref="R18:S18"/>
    <mergeCell ref="R17:S17"/>
    <mergeCell ref="J19:K19"/>
    <mergeCell ref="L19:M19"/>
    <mergeCell ref="N19:O19"/>
    <mergeCell ref="P19:Q19"/>
    <mergeCell ref="R21:S21"/>
    <mergeCell ref="J20:K20"/>
    <mergeCell ref="L20:M20"/>
    <mergeCell ref="N20:O20"/>
    <mergeCell ref="P20:Q20"/>
    <mergeCell ref="R20:S20"/>
    <mergeCell ref="J21:K21"/>
    <mergeCell ref="L21:M21"/>
    <mergeCell ref="N21:O21"/>
    <mergeCell ref="P21:Q21"/>
    <mergeCell ref="Z18:AA18"/>
    <mergeCell ref="Z19:AA19"/>
    <mergeCell ref="Z20:AA20"/>
    <mergeCell ref="Z21:AA21"/>
    <mergeCell ref="W14:Y14"/>
    <mergeCell ref="Z14:AB14"/>
    <mergeCell ref="W15:X16"/>
    <mergeCell ref="Z15:AA16"/>
    <mergeCell ref="W17:X17"/>
    <mergeCell ref="Z17:AA17"/>
    <mergeCell ref="W21:X21"/>
    <mergeCell ref="W18:X18"/>
    <mergeCell ref="W19:X19"/>
    <mergeCell ref="W20:X20"/>
  </mergeCells>
  <phoneticPr fontId="0" type="noConversion"/>
  <printOptions horizontalCentered="1"/>
  <pageMargins left="0.11811023622047245" right="0.11811023622047245" top="0.74803149606299213" bottom="0.74803149606299213" header="0.31496062992125984" footer="0.31496062992125984"/>
  <pageSetup paperSize="9" scale="72" orientation="landscape" useFirstPageNumber="1" r:id="rId1"/>
  <headerFooter>
    <oddHeader>&amp;L&amp;"Trebuchet MS,Negrito"&amp;12&amp;K01+013AGRUPAMENTO DE ESCOLAS MIGUEL TORGA&amp;C
&amp;R&amp;"Trebuchet MS,Negrito itálico"&amp;12AUTOAVALIAÇÃO
3ºPeríodo  2012/13
Tabela XI</oddHeader>
    <oddFooter>&amp;C
&amp;R12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28"/>
  <sheetViews>
    <sheetView showGridLines="0" topLeftCell="A4" workbookViewId="0">
      <selection activeCell="K17" sqref="K17"/>
    </sheetView>
  </sheetViews>
  <sheetFormatPr defaultRowHeight="12.75"/>
  <cols>
    <col min="1" max="1" width="8.5703125" customWidth="1"/>
    <col min="4" max="5" width="9.7109375" customWidth="1"/>
    <col min="7" max="7" width="12.85546875" customWidth="1"/>
    <col min="8" max="8" width="9.7109375" bestFit="1" customWidth="1"/>
    <col min="9" max="9" width="9.7109375" customWidth="1"/>
    <col min="11" max="11" width="13.7109375" customWidth="1"/>
  </cols>
  <sheetData>
    <row r="1" spans="1:17" ht="18.75" customHeight="1"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</row>
    <row r="2" spans="1:17" ht="18.75" customHeight="1"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27"/>
      <c r="Q2" s="227"/>
    </row>
    <row r="3" spans="1:17"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7"/>
    </row>
    <row r="4" spans="1:17" ht="13.5" thickBot="1"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17" ht="36" customHeight="1" thickBot="1">
      <c r="B5" s="81"/>
      <c r="C5" s="81"/>
      <c r="D5" s="108"/>
      <c r="E5" s="1391" t="s">
        <v>158</v>
      </c>
      <c r="F5" s="1391"/>
      <c r="G5" s="1391"/>
      <c r="H5" s="1391"/>
      <c r="I5" s="1391" t="s">
        <v>151</v>
      </c>
      <c r="J5" s="1391"/>
      <c r="K5" s="1391"/>
      <c r="L5" s="1391"/>
    </row>
    <row r="6" spans="1:17" ht="45.75" thickBot="1">
      <c r="A6" s="152"/>
      <c r="B6" s="152"/>
      <c r="C6" s="268" t="s">
        <v>106</v>
      </c>
      <c r="D6" s="268" t="s">
        <v>328</v>
      </c>
      <c r="E6" s="268" t="s">
        <v>325</v>
      </c>
      <c r="F6" s="268" t="s">
        <v>147</v>
      </c>
      <c r="G6" s="268" t="s">
        <v>329</v>
      </c>
      <c r="H6" s="268" t="s">
        <v>327</v>
      </c>
      <c r="I6" s="268" t="s">
        <v>325</v>
      </c>
      <c r="J6" s="268" t="s">
        <v>147</v>
      </c>
      <c r="K6" s="268" t="s">
        <v>330</v>
      </c>
      <c r="L6" s="268" t="s">
        <v>327</v>
      </c>
    </row>
    <row r="7" spans="1:17" ht="15.75" thickBot="1">
      <c r="A7" s="1390" t="s">
        <v>152</v>
      </c>
      <c r="B7" s="265" t="s">
        <v>352</v>
      </c>
      <c r="C7" s="269"/>
      <c r="D7" s="646" t="e">
        <f>('II-1º ANO'!#REF!+'II-1º ANO'!#REF!)/('II-1º ANO'!#REF!+'II-1º ANO'!#REF!)</f>
        <v>#REF!</v>
      </c>
      <c r="E7" s="270">
        <v>0</v>
      </c>
      <c r="F7" s="647" t="e">
        <f>E7/C7</f>
        <v>#DIV/0!</v>
      </c>
      <c r="G7" s="271">
        <v>0</v>
      </c>
      <c r="H7" s="647">
        <v>0</v>
      </c>
      <c r="I7" s="273">
        <v>0</v>
      </c>
      <c r="J7" s="654" t="e">
        <f>I7/C7</f>
        <v>#DIV/0!</v>
      </c>
      <c r="K7" s="275">
        <v>0</v>
      </c>
      <c r="L7" s="654">
        <v>0</v>
      </c>
    </row>
    <row r="8" spans="1:17" ht="15.75" thickBot="1">
      <c r="A8" s="1390"/>
      <c r="B8" s="265" t="s">
        <v>353</v>
      </c>
      <c r="C8" s="282"/>
      <c r="D8" s="646" t="e">
        <f>('III-2º ANO'!M12+'III-2º ANO'!#REF!)/('III-2º ANO'!B12+'III-2º ANO'!#REF!)</f>
        <v>#REF!</v>
      </c>
      <c r="E8" s="279" t="e">
        <f>'III-2º ANO'!#REF!+'III-2º ANO'!#REF!</f>
        <v>#REF!</v>
      </c>
      <c r="F8" s="647" t="e">
        <f t="shared" ref="F8:F13" si="0">E8/C8</f>
        <v>#REF!</v>
      </c>
      <c r="G8" s="279" t="e">
        <f>'III-2º ANO'!#REF!+'III-2º ANO'!#REF!</f>
        <v>#REF!</v>
      </c>
      <c r="H8" s="648" t="e">
        <f>G8/E8</f>
        <v>#REF!</v>
      </c>
      <c r="I8" s="312" t="e">
        <f>'III-2º ANO'!#REF!+'III-2º ANO'!#REF!</f>
        <v>#REF!</v>
      </c>
      <c r="J8" s="655" t="e">
        <f>I8/C8</f>
        <v>#REF!</v>
      </c>
      <c r="K8" s="313" t="e">
        <f>'III-2º ANO'!#REF!+'III-2º ANO'!#REF!</f>
        <v>#REF!</v>
      </c>
      <c r="L8" s="655" t="e">
        <f t="shared" ref="L8:L18" si="1">K8/I8</f>
        <v>#REF!</v>
      </c>
    </row>
    <row r="9" spans="1:17" ht="15.75" thickBot="1">
      <c r="A9" s="1390"/>
      <c r="B9" s="265" t="s">
        <v>354</v>
      </c>
      <c r="C9" s="282"/>
      <c r="D9" s="646" t="e">
        <f>('IV-3º ANO'!#REF!+'IV-3º ANO'!#REF!)/('IV-3º ANO'!#REF!+'IV-3º ANO'!#REF!)</f>
        <v>#REF!</v>
      </c>
      <c r="E9" s="279" t="e">
        <f>'IV-3º ANO'!#REF!+'IV-3º ANO'!#REF!</f>
        <v>#REF!</v>
      </c>
      <c r="F9" s="647" t="e">
        <f t="shared" si="0"/>
        <v>#REF!</v>
      </c>
      <c r="G9" s="279" t="e">
        <f>'IV-3º ANO'!#REF!+'IV-3º ANO'!#REF!</f>
        <v>#REF!</v>
      </c>
      <c r="H9" s="648" t="e">
        <f>G9/E9</f>
        <v>#REF!</v>
      </c>
      <c r="I9" s="312" t="e">
        <f>'IV-3º ANO'!#REF!+'IV-3º ANO'!#REF!</f>
        <v>#REF!</v>
      </c>
      <c r="J9" s="655" t="e">
        <f>I9/C9</f>
        <v>#REF!</v>
      </c>
      <c r="K9" s="313" t="e">
        <f>'IV-3º ANO'!#REF!+'IV-3º ANO'!#REF!</f>
        <v>#REF!</v>
      </c>
      <c r="L9" s="655" t="e">
        <f t="shared" si="1"/>
        <v>#REF!</v>
      </c>
    </row>
    <row r="10" spans="1:17" ht="15.75" thickBot="1">
      <c r="A10" s="1390"/>
      <c r="B10" s="265" t="s">
        <v>355</v>
      </c>
      <c r="C10" s="282"/>
      <c r="D10" s="646" t="e">
        <f>('V-4º ANO'!#REF!+'V-4º ANO'!#REF!)/('V-4º ANO'!#REF!+'V-4º ANO'!#REF!)</f>
        <v>#REF!</v>
      </c>
      <c r="E10" s="279" t="e">
        <f>'V-4º ANO'!#REF!+'V-4º ANO'!#REF!</f>
        <v>#REF!</v>
      </c>
      <c r="F10" s="647" t="e">
        <f t="shared" si="0"/>
        <v>#REF!</v>
      </c>
      <c r="G10" s="283" t="e">
        <f>'V-4º ANO'!#REF!+'V-4º ANO'!#REF!</f>
        <v>#REF!</v>
      </c>
      <c r="H10" s="648" t="e">
        <f>G10/E10</f>
        <v>#REF!</v>
      </c>
      <c r="I10" s="276" t="e">
        <f>'V-4º ANO'!#REF!+'V-4º ANO'!#REF!</f>
        <v>#REF!</v>
      </c>
      <c r="J10" s="656" t="e">
        <f>I10/C10</f>
        <v>#REF!</v>
      </c>
      <c r="K10" s="277" t="e">
        <f>'V-4º ANO'!#REF!+'V-4º ANO'!#REF!</f>
        <v>#REF!</v>
      </c>
      <c r="L10" s="655" t="e">
        <f t="shared" si="1"/>
        <v>#REF!</v>
      </c>
    </row>
    <row r="11" spans="1:17" ht="15.75" thickBot="1">
      <c r="A11" s="1390"/>
      <c r="B11" s="267" t="s">
        <v>153</v>
      </c>
      <c r="C11" s="280">
        <f>SUM(C7:C10)</f>
        <v>0</v>
      </c>
      <c r="D11" s="657" t="e">
        <f>('II-1º ANO'!#REF!+'II-1º ANO'!#REF!+'III-2º ANO'!M12+'III-2º ANO'!#REF!+'IV-3º ANO'!#REF!+'IV-3º ANO'!#REF!+'V-4º ANO'!#REF!+'V-4º ANO'!#REF!)/C11</f>
        <v>#REF!</v>
      </c>
      <c r="E11" s="280" t="e">
        <f>SUM(E7:E10)</f>
        <v>#REF!</v>
      </c>
      <c r="F11" s="657" t="e">
        <f t="shared" si="0"/>
        <v>#REF!</v>
      </c>
      <c r="G11" s="280" t="e">
        <f>SUM(G7:G10)</f>
        <v>#REF!</v>
      </c>
      <c r="H11" s="657" t="e">
        <f t="shared" ref="H11:H20" si="2">G11/E11</f>
        <v>#REF!</v>
      </c>
      <c r="I11" s="660" t="e">
        <f>SUM(I7:I10)</f>
        <v>#REF!</v>
      </c>
      <c r="J11" s="657" t="e">
        <f t="shared" ref="J11:J17" si="3">I11/C11</f>
        <v>#REF!</v>
      </c>
      <c r="K11" s="278" t="e">
        <f>SUM(K7:K10)</f>
        <v>#REF!</v>
      </c>
      <c r="L11" s="658" t="e">
        <f t="shared" si="1"/>
        <v>#REF!</v>
      </c>
    </row>
    <row r="12" spans="1:17" ht="15.75" thickBot="1">
      <c r="A12" s="1390" t="s">
        <v>154</v>
      </c>
      <c r="B12" s="266" t="s">
        <v>88</v>
      </c>
      <c r="C12" s="284"/>
      <c r="D12" s="646" t="e">
        <f>'XVII-SUCESSO-Escolas'!D13</f>
        <v>#REF!</v>
      </c>
      <c r="E12" s="285" t="e">
        <f>'VI-5º ANO'!#REF!</f>
        <v>#REF!</v>
      </c>
      <c r="F12" s="647" t="e">
        <f t="shared" si="0"/>
        <v>#REF!</v>
      </c>
      <c r="G12" s="285" t="e">
        <f>'VI-5º ANO'!#REF!</f>
        <v>#REF!</v>
      </c>
      <c r="H12" s="650" t="e">
        <f t="shared" si="2"/>
        <v>#REF!</v>
      </c>
      <c r="I12" s="276" t="e">
        <f>'VI-5º ANO'!#REF!</f>
        <v>#REF!</v>
      </c>
      <c r="J12" s="163" t="e">
        <f t="shared" si="3"/>
        <v>#REF!</v>
      </c>
      <c r="K12" s="277" t="e">
        <f>'VI-5º ANO'!#REF!</f>
        <v>#REF!</v>
      </c>
      <c r="L12" s="656" t="e">
        <f t="shared" si="1"/>
        <v>#REF!</v>
      </c>
    </row>
    <row r="13" spans="1:17" ht="15.75" thickBot="1">
      <c r="A13" s="1390"/>
      <c r="B13" s="266" t="s">
        <v>89</v>
      </c>
      <c r="C13" s="272"/>
      <c r="D13" s="646" t="e">
        <f>'XVII-SUCESSO-Escolas'!D14</f>
        <v>#REF!</v>
      </c>
      <c r="E13" s="270" t="e">
        <f>'VII-6º ANO'!#REF!</f>
        <v>#REF!</v>
      </c>
      <c r="F13" s="647" t="e">
        <f t="shared" si="0"/>
        <v>#REF!</v>
      </c>
      <c r="G13" s="270" t="e">
        <f>'VII-6º ANO'!#REF!</f>
        <v>#REF!</v>
      </c>
      <c r="H13" s="651" t="e">
        <f t="shared" si="2"/>
        <v>#REF!</v>
      </c>
      <c r="I13" s="276" t="e">
        <f>'VII-6º ANO'!#REF!</f>
        <v>#REF!</v>
      </c>
      <c r="J13" s="163" t="e">
        <f t="shared" si="3"/>
        <v>#REF!</v>
      </c>
      <c r="K13" s="277" t="e">
        <f>'VII-6º ANO'!#REF!</f>
        <v>#REF!</v>
      </c>
      <c r="L13" s="656" t="e">
        <f t="shared" si="1"/>
        <v>#REF!</v>
      </c>
    </row>
    <row r="14" spans="1:17" ht="15.75" thickBot="1">
      <c r="A14" s="1390"/>
      <c r="B14" s="267" t="s">
        <v>155</v>
      </c>
      <c r="C14" s="280">
        <f>SUM(C12:C13)</f>
        <v>0</v>
      </c>
      <c r="D14" s="657" t="e">
        <f>'XVII-SUCESSO-Escolas'!D15</f>
        <v>#REF!</v>
      </c>
      <c r="E14" s="280" t="e">
        <f>SUM(E12:E13)</f>
        <v>#REF!</v>
      </c>
      <c r="F14" s="657" t="e">
        <f>E14/C14</f>
        <v>#REF!</v>
      </c>
      <c r="G14" s="280" t="e">
        <f>SUM(G12:G13)</f>
        <v>#REF!</v>
      </c>
      <c r="H14" s="657" t="e">
        <f t="shared" si="2"/>
        <v>#REF!</v>
      </c>
      <c r="I14" s="660" t="e">
        <f>SUM(I12:I13)</f>
        <v>#REF!</v>
      </c>
      <c r="J14" s="657" t="e">
        <f t="shared" si="3"/>
        <v>#REF!</v>
      </c>
      <c r="K14" s="278" t="e">
        <f>SUM(K12:K13)</f>
        <v>#REF!</v>
      </c>
      <c r="L14" s="658" t="e">
        <f t="shared" si="1"/>
        <v>#REF!</v>
      </c>
    </row>
    <row r="15" spans="1:17" ht="15.75" thickBot="1">
      <c r="A15" s="1390" t="s">
        <v>156</v>
      </c>
      <c r="B15" s="266" t="s">
        <v>90</v>
      </c>
      <c r="C15" s="272"/>
      <c r="D15" s="646" t="e">
        <f>'XVII-SUCESSO-Escolas'!D16</f>
        <v>#REF!</v>
      </c>
      <c r="E15" s="270" t="e">
        <f>'VIII-7º ANO'!#REF!</f>
        <v>#REF!</v>
      </c>
      <c r="F15" s="647" t="e">
        <f>E15/C15</f>
        <v>#REF!</v>
      </c>
      <c r="G15" s="270" t="e">
        <f>'VIII-7º ANO'!#REF!</f>
        <v>#REF!</v>
      </c>
      <c r="H15" s="651" t="e">
        <f t="shared" si="2"/>
        <v>#REF!</v>
      </c>
      <c r="I15" s="276" t="e">
        <f>'VIII-7º ANO'!#REF!</f>
        <v>#REF!</v>
      </c>
      <c r="J15" s="163" t="e">
        <f t="shared" si="3"/>
        <v>#REF!</v>
      </c>
      <c r="K15" s="277" t="e">
        <f>'VIII-7º ANO'!#REF!</f>
        <v>#REF!</v>
      </c>
      <c r="L15" s="656" t="e">
        <f t="shared" si="1"/>
        <v>#REF!</v>
      </c>
    </row>
    <row r="16" spans="1:17" ht="15.75" thickBot="1">
      <c r="A16" s="1390"/>
      <c r="B16" s="266" t="s">
        <v>91</v>
      </c>
      <c r="C16" s="272"/>
      <c r="D16" s="646" t="e">
        <f>'XVII-SUCESSO-Escolas'!D17</f>
        <v>#REF!</v>
      </c>
      <c r="E16" s="270" t="e">
        <f>'IX-8º ANO'!#REF!</f>
        <v>#REF!</v>
      </c>
      <c r="F16" s="647" t="e">
        <f>E16/C16</f>
        <v>#REF!</v>
      </c>
      <c r="G16" s="270" t="e">
        <f>'IX-8º ANO'!#REF!</f>
        <v>#REF!</v>
      </c>
      <c r="H16" s="651" t="e">
        <f t="shared" si="2"/>
        <v>#REF!</v>
      </c>
      <c r="I16" s="276" t="e">
        <f>'IX-8º ANO'!#REF!</f>
        <v>#REF!</v>
      </c>
      <c r="J16" s="163" t="e">
        <f t="shared" si="3"/>
        <v>#REF!</v>
      </c>
      <c r="K16" s="277" t="e">
        <f>'IX-8º ANO'!#REF!</f>
        <v>#REF!</v>
      </c>
      <c r="L16" s="656" t="e">
        <f t="shared" si="1"/>
        <v>#REF!</v>
      </c>
    </row>
    <row r="17" spans="1:28" ht="15.75" thickBot="1">
      <c r="A17" s="1390"/>
      <c r="B17" s="266" t="s">
        <v>92</v>
      </c>
      <c r="C17" s="272"/>
      <c r="D17" s="646" t="e">
        <f>'XVII-SUCESSO-Escolas'!D18</f>
        <v>#REF!</v>
      </c>
      <c r="E17" s="279"/>
      <c r="F17" s="648" t="e">
        <f>E17/C17</f>
        <v>#DIV/0!</v>
      </c>
      <c r="G17" s="279"/>
      <c r="H17" s="652" t="e">
        <f t="shared" si="2"/>
        <v>#DIV/0!</v>
      </c>
      <c r="I17" s="286"/>
      <c r="J17" s="233" t="e">
        <f t="shared" si="3"/>
        <v>#DIV/0!</v>
      </c>
      <c r="K17" s="277" t="e">
        <f>'X-9º ANO'!#REF!</f>
        <v>#REF!</v>
      </c>
      <c r="L17" s="656" t="e">
        <f t="shared" si="1"/>
        <v>#REF!</v>
      </c>
    </row>
    <row r="18" spans="1:28" ht="15.75" thickBot="1">
      <c r="A18" s="1390"/>
      <c r="B18" s="267" t="s">
        <v>157</v>
      </c>
      <c r="C18" s="280">
        <f>SUM(C15:C17)</f>
        <v>0</v>
      </c>
      <c r="D18" s="657" t="e">
        <f>'XVII-SUCESSO-Escolas'!D19</f>
        <v>#REF!</v>
      </c>
      <c r="E18" s="280" t="e">
        <f>SUM(E15:E17)</f>
        <v>#REF!</v>
      </c>
      <c r="F18" s="657" t="e">
        <f>E18/(C15+C16+C17)</f>
        <v>#REF!</v>
      </c>
      <c r="G18" s="280" t="e">
        <f>SUM(G15:G17)</f>
        <v>#REF!</v>
      </c>
      <c r="H18" s="657" t="e">
        <f>G18/E18</f>
        <v>#REF!</v>
      </c>
      <c r="I18" s="660" t="e">
        <f>SUM(I15:I17)</f>
        <v>#REF!</v>
      </c>
      <c r="J18" s="657" t="e">
        <f>I18/(C15+C16+C17)</f>
        <v>#REF!</v>
      </c>
      <c r="K18" s="278" t="e">
        <f>SUM(K15:K17)</f>
        <v>#REF!</v>
      </c>
      <c r="L18" s="658" t="e">
        <f t="shared" si="1"/>
        <v>#REF!</v>
      </c>
    </row>
    <row r="19" spans="1:28" ht="15.75" thickBot="1">
      <c r="A19" s="1390"/>
      <c r="B19" s="267" t="s">
        <v>93</v>
      </c>
      <c r="C19" s="272"/>
      <c r="D19" s="646" t="e">
        <f>(19+9+15+15)/C19</f>
        <v>#DIV/0!</v>
      </c>
      <c r="E19" s="314"/>
      <c r="F19" s="649"/>
      <c r="G19" s="314"/>
      <c r="H19" s="653"/>
      <c r="I19" s="314"/>
      <c r="J19" s="649"/>
      <c r="K19" s="315"/>
      <c r="L19" s="659"/>
    </row>
    <row r="20" spans="1:28" s="229" customFormat="1" ht="18" customHeight="1" thickBot="1">
      <c r="A20" s="1392" t="s">
        <v>261</v>
      </c>
      <c r="B20" s="1393"/>
      <c r="C20" s="661">
        <f>C11+C14+C18+C19</f>
        <v>0</v>
      </c>
      <c r="D20" s="662" t="e">
        <f>'XVII-SUCESSO-Escolas'!D20</f>
        <v>#REF!</v>
      </c>
      <c r="E20" s="663" t="e">
        <f>E11+E14+E18</f>
        <v>#REF!</v>
      </c>
      <c r="F20" s="664" t="e">
        <f>E20/C20</f>
        <v>#REF!</v>
      </c>
      <c r="G20" s="665" t="e">
        <f>G11+G14+G18</f>
        <v>#REF!</v>
      </c>
      <c r="H20" s="666" t="e">
        <f t="shared" si="2"/>
        <v>#REF!</v>
      </c>
      <c r="I20" s="667" t="e">
        <f>I11+I14+I18</f>
        <v>#REF!</v>
      </c>
      <c r="J20" s="668" t="e">
        <f>I20/C20</f>
        <v>#REF!</v>
      </c>
      <c r="K20" s="669"/>
      <c r="L20" s="670" t="e">
        <f>K20/I20</f>
        <v>#REF!</v>
      </c>
    </row>
    <row r="21" spans="1:28" ht="18.75">
      <c r="A21" s="81"/>
      <c r="B21" s="135"/>
      <c r="C21" s="1389"/>
      <c r="D21" s="1389"/>
      <c r="E21" s="1389"/>
      <c r="F21" s="1389"/>
      <c r="G21" s="1389"/>
      <c r="I21" s="191"/>
      <c r="K21" s="32"/>
    </row>
    <row r="27" spans="1:28">
      <c r="G27" t="s">
        <v>322</v>
      </c>
    </row>
    <row r="28" spans="1:28">
      <c r="AB28" s="193"/>
    </row>
  </sheetData>
  <mergeCells count="7">
    <mergeCell ref="C21:G21"/>
    <mergeCell ref="A15:A19"/>
    <mergeCell ref="E5:H5"/>
    <mergeCell ref="I5:L5"/>
    <mergeCell ref="A20:B20"/>
    <mergeCell ref="A7:A11"/>
    <mergeCell ref="A12:A1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useFirstPageNumber="1" r:id="rId1"/>
  <headerFooter>
    <oddHeader>&amp;L&amp;"Trebuchet MS,Negrito"&amp;12&amp;K01+015AGRUPAMENTO DE ESCOLAS MIGUEL TORGA&amp;C
&amp;R&amp;"Trebuchet MS,Negrito itálico"&amp;12AUTO - AVALIAÇÃO
1ºPeríodo  2012/13
Tabela XII</oddHeader>
    <oddFooter>&amp;C
&amp;R12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4:S57"/>
  <sheetViews>
    <sheetView view="pageLayout" zoomScaleNormal="73" workbookViewId="0">
      <selection activeCell="D38" sqref="D38"/>
    </sheetView>
  </sheetViews>
  <sheetFormatPr defaultRowHeight="12.75"/>
  <cols>
    <col min="1" max="1" width="12.140625" customWidth="1"/>
    <col min="3" max="3" width="10" bestFit="1" customWidth="1"/>
    <col min="5" max="5" width="10.140625" customWidth="1"/>
    <col min="7" max="7" width="10.28515625" bestFit="1" customWidth="1"/>
    <col min="8" max="8" width="9.7109375" bestFit="1" customWidth="1"/>
    <col min="9" max="9" width="11.42578125" bestFit="1" customWidth="1"/>
  </cols>
  <sheetData>
    <row r="4" spans="1:13" ht="19.5" customHeight="1">
      <c r="A4" s="1395" t="s">
        <v>531</v>
      </c>
      <c r="B4" s="1395"/>
      <c r="C4" s="1395"/>
      <c r="D4" s="1395"/>
      <c r="E4" s="1395"/>
      <c r="F4" s="1395"/>
      <c r="G4" s="1395"/>
      <c r="H4" s="1395"/>
      <c r="I4" s="1395"/>
      <c r="J4" s="1395"/>
      <c r="K4" s="1395"/>
      <c r="L4" s="1395"/>
      <c r="M4" s="1395"/>
    </row>
    <row r="5" spans="1:13" ht="18">
      <c r="A5" s="765"/>
      <c r="B5" s="765"/>
      <c r="C5" s="765"/>
      <c r="D5" s="765"/>
      <c r="E5" s="765"/>
      <c r="F5" s="765"/>
      <c r="G5" s="765"/>
      <c r="H5" s="765"/>
      <c r="I5" s="765"/>
      <c r="J5" s="765"/>
      <c r="K5" s="765"/>
      <c r="L5" s="765"/>
      <c r="M5" s="765"/>
    </row>
    <row r="6" spans="1:13" ht="18.75" thickBot="1">
      <c r="A6" s="765"/>
      <c r="B6" s="1396" t="s">
        <v>118</v>
      </c>
      <c r="C6" s="1396"/>
      <c r="D6" s="1396"/>
      <c r="E6" s="1396"/>
      <c r="F6" s="765"/>
      <c r="G6" s="765"/>
      <c r="H6" s="765"/>
      <c r="I6" s="765"/>
      <c r="J6" s="765"/>
      <c r="K6" s="765"/>
      <c r="L6" s="765"/>
      <c r="M6" s="765"/>
    </row>
    <row r="7" spans="1:13" ht="18.75" thickBot="1">
      <c r="A7" s="116"/>
      <c r="B7" s="110" t="s">
        <v>525</v>
      </c>
      <c r="C7" s="110" t="s">
        <v>524</v>
      </c>
      <c r="D7" s="110" t="s">
        <v>523</v>
      </c>
      <c r="E7" s="110" t="s">
        <v>522</v>
      </c>
      <c r="F7" s="765"/>
      <c r="G7" s="765"/>
      <c r="H7" s="765"/>
      <c r="I7" s="765"/>
      <c r="J7" s="765"/>
      <c r="K7" s="765"/>
      <c r="L7" s="765"/>
      <c r="M7" s="765"/>
    </row>
    <row r="8" spans="1:13" ht="18.75" thickBot="1">
      <c r="A8" s="111" t="s">
        <v>133</v>
      </c>
      <c r="B8" s="764">
        <f>'II-1º ANO'!N18</f>
        <v>40</v>
      </c>
      <c r="C8" s="118">
        <f>B8/'II-1º ANO'!B11</f>
        <v>0.86956521739130432</v>
      </c>
      <c r="D8" s="764">
        <f>'II-1º ANO'!B11-'II-1º ANO'!N18</f>
        <v>6</v>
      </c>
      <c r="E8" s="118">
        <f>D8/'II-1º ANO'!B11</f>
        <v>0.13043478260869565</v>
      </c>
      <c r="F8" s="765"/>
      <c r="G8" s="765"/>
      <c r="H8" s="765"/>
      <c r="I8" s="765"/>
      <c r="J8" s="765"/>
      <c r="K8" s="765"/>
      <c r="L8" s="765"/>
      <c r="M8" s="765"/>
    </row>
    <row r="9" spans="1:13" ht="18.75" thickBot="1">
      <c r="A9" s="111" t="s">
        <v>134</v>
      </c>
      <c r="B9" s="764">
        <f>'III-2º ANO'!N21</f>
        <v>52</v>
      </c>
      <c r="C9" s="118">
        <f>B9/'III-2º ANO'!B12</f>
        <v>0.75362318840579712</v>
      </c>
      <c r="D9" s="764">
        <f>'III-2º ANO'!B12-'III-2º ANO'!N21</f>
        <v>17</v>
      </c>
      <c r="E9" s="118">
        <f>D9/'III-2º ANO'!B12</f>
        <v>0.24637681159420291</v>
      </c>
      <c r="F9" s="765"/>
      <c r="G9" s="765"/>
      <c r="H9" s="765"/>
      <c r="I9" s="765"/>
      <c r="J9" s="765"/>
      <c r="K9" s="765"/>
      <c r="L9" s="765"/>
      <c r="M9" s="765"/>
    </row>
    <row r="10" spans="1:13" ht="18.75" thickBot="1">
      <c r="A10" s="111" t="s">
        <v>135</v>
      </c>
      <c r="B10" s="764">
        <f>'IV-3º ANO'!N21</f>
        <v>63</v>
      </c>
      <c r="C10" s="118">
        <f>B10/'IV-3º ANO'!B12</f>
        <v>0.96923076923076923</v>
      </c>
      <c r="D10" s="764">
        <f>'IV-3º ANO'!B12-'IV-3º ANO'!N21</f>
        <v>2</v>
      </c>
      <c r="E10" s="118">
        <f>D10/'IV-3º ANO'!B12</f>
        <v>3.0769230769230771E-2</v>
      </c>
      <c r="F10" s="765"/>
      <c r="G10" s="765"/>
      <c r="H10" s="765"/>
      <c r="I10" s="765"/>
      <c r="J10" s="765"/>
      <c r="K10" s="765"/>
      <c r="L10" s="765"/>
      <c r="M10" s="765"/>
    </row>
    <row r="11" spans="1:13" ht="18.75" thickBot="1">
      <c r="A11" s="111" t="s">
        <v>136</v>
      </c>
      <c r="B11" s="764">
        <f>'V-4º ANO'!Q21</f>
        <v>70</v>
      </c>
      <c r="C11" s="118">
        <f>B11/'V-4º ANO'!B12</f>
        <v>0.94594594594594594</v>
      </c>
      <c r="D11" s="764">
        <f>'V-4º ANO'!T21</f>
        <v>4</v>
      </c>
      <c r="E11" s="118">
        <f>D11/'V-4º ANO'!B12</f>
        <v>5.4054054054054057E-2</v>
      </c>
      <c r="F11" s="765"/>
      <c r="G11" s="765"/>
      <c r="H11" s="765"/>
      <c r="I11" s="765"/>
      <c r="J11" s="765"/>
      <c r="K11" s="765"/>
      <c r="L11" s="765"/>
      <c r="M11" s="765"/>
    </row>
    <row r="12" spans="1:13" ht="18.75" thickBot="1">
      <c r="A12" s="956" t="s">
        <v>0</v>
      </c>
      <c r="B12" s="954">
        <f>SUM(B8:B11)</f>
        <v>225</v>
      </c>
      <c r="C12" s="955">
        <f>B12/(B12+D12)</f>
        <v>0.88582677165354329</v>
      </c>
      <c r="D12" s="954">
        <f>SUM(D8:D11)</f>
        <v>29</v>
      </c>
      <c r="E12" s="955">
        <f t="shared" ref="E12" si="0">1-C12</f>
        <v>0.11417322834645671</v>
      </c>
      <c r="F12" s="765"/>
      <c r="G12" s="765"/>
      <c r="H12" s="765"/>
      <c r="I12" s="765"/>
      <c r="J12" s="765"/>
      <c r="K12" s="765"/>
      <c r="L12" s="765"/>
      <c r="M12" s="765"/>
    </row>
    <row r="13" spans="1:13" ht="18">
      <c r="A13" s="1398" t="s">
        <v>359</v>
      </c>
      <c r="B13" s="1398"/>
      <c r="C13" s="1398"/>
      <c r="D13" s="1398"/>
      <c r="E13" s="1131">
        <f>46+69+65+74</f>
        <v>254</v>
      </c>
      <c r="F13" s="765"/>
      <c r="G13" s="765"/>
      <c r="H13" s="765"/>
      <c r="I13" s="765"/>
      <c r="J13" s="765"/>
      <c r="K13" s="765"/>
      <c r="L13" s="765"/>
      <c r="M13" s="765"/>
    </row>
    <row r="14" spans="1:13" ht="18">
      <c r="A14" s="765"/>
      <c r="B14" s="765"/>
      <c r="C14" s="765"/>
      <c r="D14" s="765"/>
      <c r="E14" s="765"/>
      <c r="F14" s="765"/>
      <c r="G14" s="765"/>
      <c r="H14" s="765"/>
      <c r="I14" s="765"/>
      <c r="J14" s="765"/>
      <c r="K14" s="765"/>
      <c r="L14" s="765"/>
      <c r="M14" s="765"/>
    </row>
    <row r="15" spans="1:13" ht="18.75" thickBot="1">
      <c r="A15" s="765"/>
      <c r="B15" s="1396" t="s">
        <v>119</v>
      </c>
      <c r="C15" s="1396"/>
      <c r="D15" s="1396"/>
      <c r="E15" s="1396"/>
      <c r="F15" s="765"/>
      <c r="G15" s="765"/>
      <c r="H15" s="765"/>
      <c r="I15" s="765"/>
      <c r="J15" s="765"/>
      <c r="K15" s="765"/>
      <c r="L15" s="765"/>
      <c r="M15" s="765"/>
    </row>
    <row r="16" spans="1:13" ht="18.75" thickBot="1">
      <c r="A16" s="116"/>
      <c r="B16" s="110" t="s">
        <v>525</v>
      </c>
      <c r="C16" s="110" t="s">
        <v>524</v>
      </c>
      <c r="D16" s="110" t="s">
        <v>523</v>
      </c>
      <c r="E16" s="110" t="s">
        <v>522</v>
      </c>
      <c r="F16" s="765"/>
      <c r="G16" s="765"/>
      <c r="H16" s="765"/>
      <c r="I16" s="765"/>
      <c r="J16" s="765"/>
      <c r="K16" s="765"/>
      <c r="L16" s="765"/>
      <c r="M16" s="765"/>
    </row>
    <row r="17" spans="1:19" ht="18.75" thickBot="1">
      <c r="A17" s="111" t="s">
        <v>133</v>
      </c>
      <c r="B17" s="764">
        <f>'II-1º ANO'!N39</f>
        <v>45</v>
      </c>
      <c r="C17" s="118">
        <f>B17/'II-1º ANO'!B31</f>
        <v>0.8035714285714286</v>
      </c>
      <c r="D17" s="764">
        <f>'II-1º ANO'!B31-'II-1º ANO'!N39</f>
        <v>11</v>
      </c>
      <c r="E17" s="118">
        <f>D17/'II-1º ANO'!B31</f>
        <v>0.19642857142857142</v>
      </c>
      <c r="F17" s="765"/>
      <c r="G17" s="765"/>
      <c r="H17" s="765"/>
      <c r="I17" s="765"/>
      <c r="J17" s="765"/>
      <c r="K17" s="765"/>
      <c r="L17" s="765"/>
      <c r="M17" s="765"/>
    </row>
    <row r="18" spans="1:19" ht="15.75" thickBot="1">
      <c r="A18" s="111" t="s">
        <v>134</v>
      </c>
      <c r="B18" s="764">
        <f>'III-2º ANO'!N43</f>
        <v>46</v>
      </c>
      <c r="C18" s="118">
        <f>B18/'III-2º ANO'!B34</f>
        <v>0.80701754385964908</v>
      </c>
      <c r="D18" s="764">
        <f>'III-2º ANO'!B34-'III-2º ANO'!N43</f>
        <v>11</v>
      </c>
      <c r="E18" s="118">
        <f>D18/'III-2º ANO'!B34</f>
        <v>0.19298245614035087</v>
      </c>
      <c r="F18" s="132"/>
      <c r="G18" s="132"/>
      <c r="H18" s="132"/>
      <c r="I18" s="132"/>
      <c r="J18" s="132"/>
      <c r="K18" s="132"/>
      <c r="L18" s="132"/>
      <c r="M18" s="132"/>
      <c r="R18" s="15"/>
      <c r="S18" s="1107"/>
    </row>
    <row r="19" spans="1:19" ht="15.75" thickBot="1">
      <c r="A19" s="111" t="s">
        <v>135</v>
      </c>
      <c r="B19" s="764">
        <f>'IV-3º ANO'!N44</f>
        <v>62</v>
      </c>
      <c r="C19" s="118">
        <f>B19/'IV-3º ANO'!B35</f>
        <v>0.93939393939393945</v>
      </c>
      <c r="D19" s="764">
        <f>'IV-3º ANO'!B35-'IV-3º ANO'!N44</f>
        <v>4</v>
      </c>
      <c r="E19" s="118">
        <f>D19/'IV-3º ANO'!B35</f>
        <v>6.0606060606060608E-2</v>
      </c>
      <c r="F19" s="132"/>
      <c r="G19" s="132"/>
      <c r="H19" s="132"/>
      <c r="I19" s="132"/>
      <c r="J19" s="132"/>
      <c r="K19" s="132"/>
      <c r="L19" s="132"/>
      <c r="M19" s="132"/>
      <c r="R19" s="15"/>
      <c r="S19" s="1107"/>
    </row>
    <row r="20" spans="1:19" ht="15.75" thickBot="1">
      <c r="A20" s="111" t="s">
        <v>136</v>
      </c>
      <c r="B20" s="764">
        <f>'V-4º ANO'!T45</f>
        <v>54</v>
      </c>
      <c r="C20" s="118">
        <f>B20/'V-4º ANO'!B36</f>
        <v>0.84375</v>
      </c>
      <c r="D20" s="764">
        <f>'V-4º ANO'!W45</f>
        <v>10</v>
      </c>
      <c r="E20" s="118">
        <f>D20/'V-4º ANO'!B36</f>
        <v>0.15625</v>
      </c>
      <c r="F20" s="132"/>
      <c r="G20" s="132"/>
      <c r="H20" s="132"/>
      <c r="I20" s="132"/>
      <c r="J20" s="132"/>
      <c r="K20" s="132"/>
      <c r="L20" s="132"/>
      <c r="M20" s="132"/>
      <c r="R20" s="15"/>
      <c r="S20" s="1108"/>
    </row>
    <row r="21" spans="1:19" ht="18.75" thickBot="1">
      <c r="A21" s="956" t="s">
        <v>0</v>
      </c>
      <c r="B21" s="954">
        <f>SUM(B17:B20)</f>
        <v>207</v>
      </c>
      <c r="C21" s="955">
        <f>B21/(B21+D21)</f>
        <v>0.85185185185185186</v>
      </c>
      <c r="D21" s="954">
        <f>SUM(D17:D20)</f>
        <v>36</v>
      </c>
      <c r="E21" s="955">
        <f t="shared" ref="E21" si="1">1-C21</f>
        <v>0.14814814814814814</v>
      </c>
      <c r="F21" s="132"/>
      <c r="G21" s="132"/>
      <c r="H21" s="132"/>
      <c r="I21" s="132"/>
      <c r="J21" s="132"/>
      <c r="K21" s="132"/>
      <c r="L21" s="132"/>
      <c r="M21" s="132"/>
      <c r="R21" s="15"/>
      <c r="S21" s="15"/>
    </row>
    <row r="22" spans="1:19" ht="18">
      <c r="A22" s="1398" t="s">
        <v>359</v>
      </c>
      <c r="B22" s="1398"/>
      <c r="C22" s="1398"/>
      <c r="D22" s="1398"/>
      <c r="E22" s="1132">
        <f>56+57+66+64</f>
        <v>243</v>
      </c>
      <c r="F22" s="2"/>
      <c r="G22" s="2"/>
      <c r="H22" s="2"/>
      <c r="I22" s="2"/>
      <c r="J22" s="2"/>
      <c r="K22" s="2"/>
      <c r="L22" s="2"/>
      <c r="M22" s="2"/>
      <c r="R22" s="15"/>
      <c r="S22" s="15"/>
    </row>
    <row r="23" spans="1:19">
      <c r="A23" s="2"/>
      <c r="B23" s="2"/>
      <c r="C23" s="2"/>
      <c r="D23" s="2"/>
      <c r="E23" s="18"/>
      <c r="F23" s="2"/>
      <c r="G23" s="2"/>
      <c r="H23" s="2"/>
      <c r="I23" s="2"/>
      <c r="J23" s="2"/>
      <c r="K23" s="2"/>
      <c r="L23" s="2"/>
      <c r="M23" s="2"/>
      <c r="R23" s="15"/>
      <c r="S23" s="15"/>
    </row>
    <row r="24" spans="1:19" ht="18.75" thickBot="1">
      <c r="A24" s="2"/>
      <c r="B24" s="1397" t="s">
        <v>137</v>
      </c>
      <c r="C24" s="1397"/>
      <c r="D24" s="1397"/>
      <c r="E24" s="1397"/>
      <c r="F24" s="2"/>
      <c r="G24" s="2"/>
      <c r="H24" s="2"/>
      <c r="I24" s="2"/>
      <c r="J24" s="2"/>
      <c r="K24" s="2"/>
      <c r="L24" s="2"/>
      <c r="M24" s="2"/>
      <c r="R24" s="15"/>
      <c r="S24" s="1107"/>
    </row>
    <row r="25" spans="1:19" ht="15.75" thickBot="1">
      <c r="A25" s="116"/>
      <c r="B25" s="110" t="s">
        <v>525</v>
      </c>
      <c r="C25" s="110" t="s">
        <v>524</v>
      </c>
      <c r="D25" s="110" t="s">
        <v>523</v>
      </c>
      <c r="E25" s="110" t="s">
        <v>522</v>
      </c>
      <c r="F25" s="2"/>
      <c r="G25" s="2"/>
      <c r="H25" s="2"/>
      <c r="I25" s="2"/>
      <c r="J25" s="2"/>
      <c r="K25" s="2"/>
      <c r="L25" s="2"/>
      <c r="M25" s="2"/>
      <c r="R25" s="15"/>
      <c r="S25" s="1107"/>
    </row>
    <row r="26" spans="1:19" ht="15.75" thickBot="1">
      <c r="A26" s="111" t="s">
        <v>1</v>
      </c>
      <c r="B26" s="764">
        <f>'VI-5º ANO'!U30</f>
        <v>114</v>
      </c>
      <c r="C26" s="118">
        <f>'VI-5º ANO'!W30</f>
        <v>0.90476190476190477</v>
      </c>
      <c r="D26" s="764">
        <f>'VI-5º ANO'!X30</f>
        <v>12</v>
      </c>
      <c r="E26" s="118">
        <f>1-C26</f>
        <v>9.5238095238095233E-2</v>
      </c>
      <c r="F26" s="2"/>
      <c r="G26" s="2"/>
      <c r="H26" s="2"/>
      <c r="I26" s="2"/>
      <c r="J26" s="2"/>
      <c r="K26" s="2"/>
      <c r="L26" s="2"/>
      <c r="M26" s="2"/>
      <c r="R26" s="15"/>
      <c r="S26" s="1107"/>
    </row>
    <row r="27" spans="1:19" ht="15.75" thickBot="1">
      <c r="A27" s="111" t="s">
        <v>2</v>
      </c>
      <c r="B27" s="764">
        <f>'VII-6º ANO'!AB29</f>
        <v>102</v>
      </c>
      <c r="C27" s="118">
        <f>'VII-6º ANO'!X29</f>
        <v>0.92307692307692313</v>
      </c>
      <c r="D27" s="764">
        <f>'VII-6º ANO'!B16-B27</f>
        <v>28</v>
      </c>
      <c r="E27" s="118">
        <f t="shared" ref="E27:E31" si="2">1-C27</f>
        <v>7.6923076923076872E-2</v>
      </c>
      <c r="F27" s="2"/>
      <c r="G27" s="2"/>
      <c r="H27" s="2"/>
      <c r="I27" s="2"/>
      <c r="J27" s="2"/>
      <c r="K27" s="2"/>
      <c r="L27" s="2"/>
      <c r="M27" s="2"/>
      <c r="R27" s="15"/>
      <c r="S27" s="1108"/>
    </row>
    <row r="28" spans="1:19" ht="15.75" thickBot="1">
      <c r="A28" s="111" t="s">
        <v>3</v>
      </c>
      <c r="B28" s="764">
        <f>'VIII-7º ANO'!W29</f>
        <v>88</v>
      </c>
      <c r="C28" s="118">
        <f>'VIII-7º ANO'!Y29</f>
        <v>0.69841269841269837</v>
      </c>
      <c r="D28" s="764">
        <f>'VIII-7º ANO'!Z29</f>
        <v>38</v>
      </c>
      <c r="E28" s="118">
        <f t="shared" si="2"/>
        <v>0.30158730158730163</v>
      </c>
      <c r="F28" s="2"/>
      <c r="G28" s="2"/>
      <c r="H28" s="2"/>
      <c r="I28" s="2"/>
      <c r="J28" s="2"/>
      <c r="K28" s="2"/>
      <c r="L28" s="2"/>
      <c r="M28" s="2"/>
      <c r="R28" s="15"/>
      <c r="S28" s="15"/>
    </row>
    <row r="29" spans="1:19" ht="15.75" thickBot="1">
      <c r="A29" s="111" t="s">
        <v>4</v>
      </c>
      <c r="B29" s="764">
        <f>'IX-8º ANO'!Z26</f>
        <v>89</v>
      </c>
      <c r="C29" s="118">
        <f>'IX-8º ANO'!AB26</f>
        <v>0.80909090909090908</v>
      </c>
      <c r="D29" s="764">
        <f>'IX-8º ANO'!AC26</f>
        <v>21</v>
      </c>
      <c r="E29" s="118">
        <f t="shared" si="2"/>
        <v>0.19090909090909092</v>
      </c>
      <c r="F29" s="2"/>
      <c r="G29" s="2"/>
      <c r="H29" s="2"/>
      <c r="I29" s="2"/>
      <c r="J29" s="2"/>
      <c r="K29" s="2"/>
      <c r="L29" s="2"/>
      <c r="M29" s="2"/>
      <c r="Q29" s="19"/>
    </row>
    <row r="30" spans="1:19" ht="15.75" thickBot="1">
      <c r="A30" s="111" t="s">
        <v>5</v>
      </c>
      <c r="B30" s="764">
        <f>'X-9º ANO'!AD23</f>
        <v>63</v>
      </c>
      <c r="C30" s="118">
        <f>'X-9º ANO'!Z23</f>
        <v>0.80232558139534882</v>
      </c>
      <c r="D30" s="764">
        <f>'X-9º ANO'!B13-B30</f>
        <v>23</v>
      </c>
      <c r="E30" s="118">
        <f t="shared" si="2"/>
        <v>0.19767441860465118</v>
      </c>
      <c r="F30" s="2"/>
      <c r="G30" s="2"/>
      <c r="H30" s="2"/>
      <c r="I30" s="2"/>
      <c r="J30" s="2"/>
      <c r="K30" s="2"/>
      <c r="L30" s="2"/>
      <c r="M30" s="2"/>
    </row>
    <row r="31" spans="1:19" ht="18.75" thickBot="1">
      <c r="A31" s="956" t="s">
        <v>0</v>
      </c>
      <c r="B31" s="954">
        <f>SUM(B26:B30)</f>
        <v>456</v>
      </c>
      <c r="C31" s="955">
        <f>B31/('VI-5º ANO'!B17+'VII-6º ANO'!B16+'VIII-7º ANO'!B17+'IX-8º ANO'!B15+'X-9º ANO'!B13)</f>
        <v>0.78892733564013839</v>
      </c>
      <c r="D31" s="954">
        <f>SUM(D26:D30)</f>
        <v>122</v>
      </c>
      <c r="E31" s="955">
        <f t="shared" si="2"/>
        <v>0.21107266435986161</v>
      </c>
      <c r="F31" s="2"/>
      <c r="G31" s="2"/>
      <c r="H31" s="2"/>
      <c r="I31" s="2"/>
      <c r="J31" s="2"/>
      <c r="K31" s="2"/>
      <c r="L31" s="2"/>
      <c r="M31" s="2"/>
    </row>
    <row r="32" spans="1:19" ht="18">
      <c r="A32" s="1398" t="s">
        <v>616</v>
      </c>
      <c r="B32" s="1398"/>
      <c r="C32" s="1398"/>
      <c r="D32" s="1398"/>
      <c r="E32" s="1132">
        <f>'VI-5º ANO'!B17+'VII-6º ANO'!B16</f>
        <v>256</v>
      </c>
      <c r="F32" s="2"/>
      <c r="G32" s="2"/>
      <c r="H32" s="2"/>
      <c r="I32" s="2"/>
      <c r="J32" s="2"/>
      <c r="K32" s="2"/>
      <c r="L32" s="2"/>
      <c r="M32" s="2"/>
    </row>
    <row r="33" spans="1:13" ht="18">
      <c r="A33" s="1398" t="s">
        <v>617</v>
      </c>
      <c r="B33" s="1398"/>
      <c r="C33" s="1398"/>
      <c r="D33" s="1398"/>
      <c r="E33" s="1132">
        <f>'VIII-7º ANO'!B17+'IX-8º ANO'!B15+'X-9º ANO'!B13</f>
        <v>322</v>
      </c>
      <c r="F33" s="2"/>
      <c r="G33" s="2"/>
      <c r="H33" s="2"/>
      <c r="I33" s="2"/>
      <c r="J33" s="2"/>
      <c r="K33" s="2"/>
      <c r="L33" s="2"/>
      <c r="M33" s="2"/>
    </row>
    <row r="34" spans="1:13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 ht="18">
      <c r="A35" s="1395" t="s">
        <v>530</v>
      </c>
      <c r="B35" s="1395"/>
      <c r="C35" s="1395"/>
      <c r="D35" s="1395"/>
      <c r="E35" s="1395"/>
      <c r="F35" s="1395"/>
      <c r="G35" s="1395"/>
      <c r="H35" s="1395"/>
      <c r="I35" s="1395"/>
      <c r="J35" s="1395"/>
      <c r="K35" s="1395"/>
      <c r="L35" s="1395"/>
      <c r="M35" s="1395"/>
    </row>
    <row r="36" spans="1:13" ht="18.75" thickBot="1">
      <c r="B36" s="1394" t="s">
        <v>529</v>
      </c>
      <c r="C36" s="1394"/>
      <c r="D36" s="1394"/>
      <c r="E36" s="1394"/>
      <c r="F36" s="2"/>
      <c r="G36" s="2"/>
      <c r="H36" s="2"/>
      <c r="I36" s="2"/>
      <c r="J36" s="2"/>
      <c r="K36" s="2"/>
      <c r="L36" s="2"/>
      <c r="M36" s="2"/>
    </row>
    <row r="37" spans="1:13" ht="15.75" thickBot="1">
      <c r="B37" s="110" t="s">
        <v>525</v>
      </c>
      <c r="C37" s="110" t="s">
        <v>524</v>
      </c>
      <c r="D37" s="110" t="s">
        <v>523</v>
      </c>
      <c r="E37" s="110" t="s">
        <v>522</v>
      </c>
      <c r="F37" s="2"/>
      <c r="G37" s="2"/>
      <c r="H37" s="2"/>
      <c r="I37" s="2"/>
      <c r="J37" s="2"/>
      <c r="K37" s="2"/>
      <c r="L37" s="2"/>
      <c r="M37" s="2"/>
    </row>
    <row r="38" spans="1:13" ht="15.75" thickBot="1">
      <c r="A38" s="111" t="s">
        <v>528</v>
      </c>
      <c r="B38" s="117">
        <f>B12+B21</f>
        <v>432</v>
      </c>
      <c r="C38" s="118">
        <f>B38/495</f>
        <v>0.87272727272727268</v>
      </c>
      <c r="D38" s="117">
        <f>D12+D21</f>
        <v>65</v>
      </c>
      <c r="E38" s="118">
        <f>1-C38</f>
        <v>0.12727272727272732</v>
      </c>
      <c r="F38" s="2"/>
      <c r="G38" s="2"/>
      <c r="H38" s="2"/>
      <c r="I38" s="2"/>
      <c r="J38" s="2"/>
      <c r="K38" s="2"/>
      <c r="L38" s="2"/>
      <c r="M38" s="2"/>
    </row>
    <row r="39" spans="1:13" ht="15.75" thickBot="1">
      <c r="A39" s="111" t="s">
        <v>527</v>
      </c>
      <c r="B39" s="764">
        <f>B26+B27</f>
        <v>216</v>
      </c>
      <c r="C39" s="118">
        <f>B39/260</f>
        <v>0.83076923076923082</v>
      </c>
      <c r="D39" s="764">
        <f>D26+D27</f>
        <v>40</v>
      </c>
      <c r="E39" s="118">
        <f t="shared" ref="E39:E41" si="3">1-C39</f>
        <v>0.16923076923076918</v>
      </c>
      <c r="F39" s="2"/>
      <c r="G39" s="2"/>
      <c r="H39" s="2"/>
      <c r="I39" s="2"/>
      <c r="J39" s="2"/>
      <c r="K39" s="2"/>
      <c r="L39" s="2"/>
      <c r="M39" s="2"/>
    </row>
    <row r="40" spans="1:13" ht="15.75" thickBot="1">
      <c r="A40" s="111" t="s">
        <v>6</v>
      </c>
      <c r="B40" s="764">
        <f>B28+B29+B30</f>
        <v>240</v>
      </c>
      <c r="C40" s="118">
        <f>B40/328</f>
        <v>0.73170731707317072</v>
      </c>
      <c r="D40" s="764">
        <f>D28+D29+D30</f>
        <v>82</v>
      </c>
      <c r="E40" s="118">
        <f t="shared" si="3"/>
        <v>0.26829268292682928</v>
      </c>
      <c r="F40" s="2"/>
      <c r="G40" s="2"/>
      <c r="H40" s="2"/>
      <c r="I40" s="2"/>
      <c r="J40" s="2"/>
      <c r="K40" s="2"/>
      <c r="L40" s="2"/>
      <c r="M40" s="2"/>
    </row>
    <row r="41" spans="1:13" ht="18.75" thickBot="1">
      <c r="A41" s="956" t="s">
        <v>0</v>
      </c>
      <c r="B41" s="954">
        <f>SUM(B38:B40)</f>
        <v>888</v>
      </c>
      <c r="C41" s="955">
        <f>B41/1091</f>
        <v>0.81393217231897341</v>
      </c>
      <c r="D41" s="954">
        <f>SUM(D38:D40)</f>
        <v>187</v>
      </c>
      <c r="E41" s="955">
        <f t="shared" si="3"/>
        <v>0.18606782768102659</v>
      </c>
      <c r="F41" s="2"/>
      <c r="G41" s="2"/>
      <c r="H41" s="2"/>
      <c r="I41" s="2"/>
      <c r="J41" s="2"/>
      <c r="K41" s="2"/>
      <c r="L41" s="2"/>
      <c r="M41" s="2"/>
    </row>
    <row r="42" spans="1:13" ht="18">
      <c r="A42" s="1398" t="s">
        <v>618</v>
      </c>
      <c r="B42" s="1398"/>
      <c r="C42" s="1398"/>
      <c r="D42" s="1398"/>
      <c r="E42" s="1132">
        <f>E13+E22+E32+E33</f>
        <v>1075</v>
      </c>
      <c r="F42" s="2"/>
      <c r="G42" s="2"/>
      <c r="H42" s="2"/>
      <c r="I42" s="2"/>
      <c r="J42" s="2"/>
      <c r="K42" s="2"/>
      <c r="L42" s="2"/>
      <c r="M42" s="2"/>
    </row>
    <row r="43" spans="1:13" ht="14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</row>
    <row r="44" spans="1:13" ht="18">
      <c r="A44" s="1395" t="s">
        <v>526</v>
      </c>
      <c r="B44" s="1395"/>
      <c r="C44" s="1395"/>
      <c r="D44" s="1395"/>
      <c r="E44" s="1395"/>
      <c r="F44" s="1395"/>
      <c r="G44" s="1395"/>
      <c r="H44" s="1395"/>
      <c r="I44" s="1395"/>
      <c r="J44" s="1395"/>
      <c r="K44" s="1395"/>
      <c r="L44" s="1395"/>
      <c r="M44" s="1395"/>
    </row>
    <row r="45" spans="1:13" s="5" customFormat="1" ht="15" thickBot="1">
      <c r="E45" s="6"/>
      <c r="F45" s="6"/>
      <c r="G45" s="6"/>
      <c r="H45" s="6"/>
      <c r="I45" s="6"/>
      <c r="J45" s="6"/>
      <c r="K45" s="6"/>
      <c r="L45" s="6"/>
      <c r="M45" s="6"/>
    </row>
    <row r="46" spans="1:13" s="5" customFormat="1" ht="15.75" thickBot="1">
      <c r="E46" s="116"/>
      <c r="F46" s="110" t="s">
        <v>525</v>
      </c>
      <c r="G46" s="110" t="s">
        <v>524</v>
      </c>
      <c r="H46" s="110" t="s">
        <v>523</v>
      </c>
      <c r="I46" s="110" t="s">
        <v>522</v>
      </c>
      <c r="J46" s="6"/>
      <c r="K46" s="6"/>
      <c r="L46" s="6"/>
      <c r="M46" s="6"/>
    </row>
    <row r="47" spans="1:13" s="5" customFormat="1" ht="15.75" thickBot="1">
      <c r="E47" s="111" t="s">
        <v>133</v>
      </c>
      <c r="F47" s="1030">
        <f>B8+B17</f>
        <v>85</v>
      </c>
      <c r="G47" s="118">
        <f>F47/(F47+H47)</f>
        <v>0.83333333333333337</v>
      </c>
      <c r="H47" s="764">
        <f>D8+D17</f>
        <v>17</v>
      </c>
      <c r="I47" s="118">
        <f>1-G47</f>
        <v>0.16666666666666663</v>
      </c>
      <c r="J47" s="6"/>
      <c r="K47" s="6"/>
      <c r="L47" s="6"/>
      <c r="M47" s="6"/>
    </row>
    <row r="48" spans="1:13" s="5" customFormat="1" ht="15.75" thickBot="1">
      <c r="E48" s="111" t="s">
        <v>134</v>
      </c>
      <c r="F48" s="1112">
        <f t="shared" ref="F48:F50" si="4">B9+B18</f>
        <v>98</v>
      </c>
      <c r="G48" s="118">
        <f t="shared" ref="G48:G50" si="5">F48/(F48+H48)</f>
        <v>0.77777777777777779</v>
      </c>
      <c r="H48" s="764">
        <f t="shared" ref="H48:H50" si="6">D9+D18</f>
        <v>28</v>
      </c>
      <c r="I48" s="118">
        <f t="shared" ref="I48:I50" si="7">1-G48</f>
        <v>0.22222222222222221</v>
      </c>
    </row>
    <row r="49" spans="1:17" s="5" customFormat="1" ht="15.75" thickBot="1">
      <c r="E49" s="111" t="s">
        <v>135</v>
      </c>
      <c r="F49" s="1112">
        <f t="shared" si="4"/>
        <v>125</v>
      </c>
      <c r="G49" s="118">
        <f t="shared" si="5"/>
        <v>0.95419847328244278</v>
      </c>
      <c r="H49" s="764">
        <f t="shared" si="6"/>
        <v>6</v>
      </c>
      <c r="I49" s="118">
        <f t="shared" si="7"/>
        <v>4.5801526717557217E-2</v>
      </c>
    </row>
    <row r="50" spans="1:17" s="5" customFormat="1" ht="15.75" thickBot="1">
      <c r="A50"/>
      <c r="B50"/>
      <c r="C50"/>
      <c r="D50"/>
      <c r="E50" s="111" t="s">
        <v>136</v>
      </c>
      <c r="F50" s="1112">
        <f t="shared" si="4"/>
        <v>124</v>
      </c>
      <c r="G50" s="118">
        <f t="shared" si="5"/>
        <v>0.89855072463768115</v>
      </c>
      <c r="H50" s="764">
        <f t="shared" si="6"/>
        <v>14</v>
      </c>
      <c r="I50" s="118">
        <f t="shared" si="7"/>
        <v>0.10144927536231885</v>
      </c>
      <c r="J50"/>
      <c r="K50" s="4"/>
      <c r="L50" s="4"/>
      <c r="M50" s="4"/>
    </row>
    <row r="51" spans="1:17" s="5" customFormat="1" ht="15.75" thickBot="1">
      <c r="A51"/>
      <c r="B51"/>
      <c r="C51"/>
      <c r="D51"/>
      <c r="E51" s="111" t="s">
        <v>1</v>
      </c>
      <c r="F51" s="1030">
        <f>B26</f>
        <v>114</v>
      </c>
      <c r="G51" s="118">
        <f>C26</f>
        <v>0.90476190476190477</v>
      </c>
      <c r="H51" s="764">
        <f>D26</f>
        <v>12</v>
      </c>
      <c r="I51" s="118">
        <f>E26</f>
        <v>9.5238095238095233E-2</v>
      </c>
      <c r="J51"/>
      <c r="K51"/>
      <c r="L51"/>
      <c r="M51"/>
      <c r="Q51" s="6"/>
    </row>
    <row r="52" spans="1:17" ht="15.75" thickBot="1">
      <c r="E52" s="111" t="s">
        <v>2</v>
      </c>
      <c r="F52" s="1112">
        <f t="shared" ref="F52:F55" si="8">B27</f>
        <v>102</v>
      </c>
      <c r="G52" s="118">
        <f>C27</f>
        <v>0.92307692307692313</v>
      </c>
      <c r="H52" s="764">
        <f t="shared" ref="H52:H55" si="9">D27</f>
        <v>28</v>
      </c>
      <c r="I52" s="118">
        <f t="shared" ref="I52:I55" si="10">E27</f>
        <v>7.6923076923076872E-2</v>
      </c>
      <c r="J52" s="17"/>
    </row>
    <row r="53" spans="1:17" ht="15.75" thickBot="1">
      <c r="E53" s="111" t="s">
        <v>3</v>
      </c>
      <c r="F53" s="1112">
        <f t="shared" si="8"/>
        <v>88</v>
      </c>
      <c r="G53" s="118">
        <f t="shared" ref="G53:G55" si="11">C28</f>
        <v>0.69841269841269837</v>
      </c>
      <c r="H53" s="764">
        <f t="shared" si="9"/>
        <v>38</v>
      </c>
      <c r="I53" s="118">
        <f t="shared" si="10"/>
        <v>0.30158730158730163</v>
      </c>
    </row>
    <row r="54" spans="1:17" ht="15.75" thickBot="1">
      <c r="E54" s="111" t="s">
        <v>4</v>
      </c>
      <c r="F54" s="1112">
        <f t="shared" si="8"/>
        <v>89</v>
      </c>
      <c r="G54" s="118">
        <f t="shared" si="11"/>
        <v>0.80909090909090908</v>
      </c>
      <c r="H54" s="764">
        <f t="shared" si="9"/>
        <v>21</v>
      </c>
      <c r="I54" s="118">
        <f t="shared" si="10"/>
        <v>0.19090909090909092</v>
      </c>
    </row>
    <row r="55" spans="1:17" ht="15.75" thickBot="1">
      <c r="E55" s="111" t="s">
        <v>5</v>
      </c>
      <c r="F55" s="1112">
        <f t="shared" si="8"/>
        <v>63</v>
      </c>
      <c r="G55" s="118">
        <f t="shared" si="11"/>
        <v>0.80232558139534882</v>
      </c>
      <c r="H55" s="764">
        <f t="shared" si="9"/>
        <v>23</v>
      </c>
      <c r="I55" s="118">
        <f t="shared" si="10"/>
        <v>0.19767441860465118</v>
      </c>
    </row>
    <row r="56" spans="1:17" ht="17.25" thickBot="1">
      <c r="E56" s="1040" t="s">
        <v>597</v>
      </c>
      <c r="F56" s="1041">
        <f>'XI-CEF''S'!W21</f>
        <v>47</v>
      </c>
      <c r="G56" s="1043">
        <f>F56/(F56+H56)</f>
        <v>0.79661016949152541</v>
      </c>
      <c r="H56" s="1042">
        <f>'XI-CEF''S'!Z21</f>
        <v>12</v>
      </c>
      <c r="I56" s="1043">
        <f>1-G56</f>
        <v>0.20338983050847459</v>
      </c>
      <c r="K56" s="1044"/>
      <c r="L56" s="1044"/>
    </row>
    <row r="57" spans="1:17" ht="17.25" thickBot="1">
      <c r="E57" s="1040" t="s">
        <v>0</v>
      </c>
      <c r="F57" s="1113">
        <f>SUM(F47:F56)</f>
        <v>935</v>
      </c>
      <c r="G57" s="955">
        <f>F57/(F57+H57)</f>
        <v>0.82451499118165783</v>
      </c>
      <c r="H57" s="1113">
        <f>SUM(H47:H56)</f>
        <v>199</v>
      </c>
      <c r="I57" s="955">
        <f>1-G57</f>
        <v>0.17548500881834217</v>
      </c>
      <c r="J57" s="1044" t="s">
        <v>644</v>
      </c>
    </row>
  </sheetData>
  <mergeCells count="12">
    <mergeCell ref="B36:E36"/>
    <mergeCell ref="A44:M44"/>
    <mergeCell ref="A4:M4"/>
    <mergeCell ref="A35:M35"/>
    <mergeCell ref="B6:E6"/>
    <mergeCell ref="B15:E15"/>
    <mergeCell ref="B24:E24"/>
    <mergeCell ref="A13:D13"/>
    <mergeCell ref="A22:D22"/>
    <mergeCell ref="A32:D32"/>
    <mergeCell ref="A33:D33"/>
    <mergeCell ref="A42:D42"/>
  </mergeCells>
  <phoneticPr fontId="0" type="noConversion"/>
  <printOptions horizontalCentered="1"/>
  <pageMargins left="0.51181102362204722" right="0.51181102362204722" top="0.19685039370078741" bottom="0" header="0.39370078740157483" footer="0.19685039370078741"/>
  <pageSetup paperSize="9" scale="72" orientation="portrait" useFirstPageNumber="1" r:id="rId1"/>
  <headerFooter>
    <oddHeader>&amp;L&amp;"Trebuchet MS,Negrito"&amp;12&amp;K01+016AGRUPAMENTO DE ESCOLAS MIGUEL TORGA&amp;C
&amp;R&amp;"Trebuchet MS,Negrito itálico"&amp;12AUTOAVALIAÇÃO
3ºPeríodo  2012/13
Tabela XII</oddHeader>
    <oddFooter xml:space="preserve">&amp;C
&amp;R13
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Q37"/>
  <sheetViews>
    <sheetView showGridLines="0" zoomScale="90" zoomScaleNormal="90" workbookViewId="0">
      <selection activeCell="N15" sqref="N15"/>
    </sheetView>
  </sheetViews>
  <sheetFormatPr defaultRowHeight="12.75"/>
  <cols>
    <col min="1" max="1" width="11" customWidth="1"/>
    <col min="2" max="2" width="10.85546875" customWidth="1"/>
    <col min="3" max="3" width="10.42578125" customWidth="1"/>
    <col min="4" max="4" width="9.7109375" customWidth="1"/>
    <col min="5" max="5" width="10.5703125" customWidth="1"/>
    <col min="6" max="6" width="10.85546875" customWidth="1"/>
    <col min="7" max="7" width="11" customWidth="1"/>
    <col min="8" max="8" width="10.7109375" bestFit="1" customWidth="1"/>
    <col min="9" max="9" width="9.7109375" bestFit="1" customWidth="1"/>
    <col min="11" max="11" width="9.85546875" bestFit="1" customWidth="1"/>
    <col min="12" max="12" width="9.85546875" customWidth="1"/>
    <col min="13" max="13" width="11.42578125" customWidth="1"/>
    <col min="14" max="14" width="10" customWidth="1"/>
    <col min="15" max="15" width="10.42578125" customWidth="1"/>
    <col min="18" max="18" width="11.140625" bestFit="1" customWidth="1"/>
  </cols>
  <sheetData>
    <row r="2" spans="1:17" ht="30">
      <c r="A2" s="1400" t="s">
        <v>576</v>
      </c>
      <c r="B2" s="1400"/>
      <c r="C2" s="1400"/>
      <c r="D2" s="1400"/>
      <c r="E2" s="1400"/>
      <c r="F2" s="1400"/>
      <c r="G2" s="1400"/>
      <c r="H2" s="1400"/>
      <c r="I2" s="1400"/>
      <c r="J2" s="1400"/>
      <c r="K2" s="1400"/>
      <c r="L2" s="1400"/>
      <c r="M2" s="1400"/>
      <c r="N2" s="1400"/>
      <c r="O2" s="165"/>
      <c r="P2" s="165"/>
      <c r="Q2" s="165"/>
    </row>
    <row r="3" spans="1:17" ht="25.5">
      <c r="A3" s="1338" t="s">
        <v>577</v>
      </c>
      <c r="B3" s="1338"/>
      <c r="C3" s="1338"/>
      <c r="D3" s="1338"/>
      <c r="E3" s="1338"/>
      <c r="F3" s="1338"/>
      <c r="G3" s="1338"/>
      <c r="H3" s="1338"/>
      <c r="I3" s="1338"/>
      <c r="J3" s="1338"/>
      <c r="K3" s="1338"/>
      <c r="L3" s="1338"/>
      <c r="M3" s="1338"/>
      <c r="N3" s="1338"/>
      <c r="O3" s="167"/>
      <c r="P3" s="167"/>
      <c r="Q3" s="167"/>
    </row>
    <row r="4" spans="1:17" ht="33" thickBot="1">
      <c r="A4" s="1399" t="s">
        <v>152</v>
      </c>
      <c r="B4" s="1399"/>
      <c r="C4" s="1399"/>
      <c r="D4" s="1399"/>
      <c r="E4" s="1399"/>
      <c r="F4" s="1399"/>
      <c r="G4" s="1399"/>
      <c r="H4" s="1399"/>
      <c r="I4" s="1399"/>
      <c r="J4" s="1399"/>
      <c r="K4" s="1399"/>
      <c r="L4" s="1399"/>
      <c r="M4" s="1399"/>
      <c r="N4" s="1399"/>
      <c r="O4" s="165"/>
      <c r="P4" s="165"/>
      <c r="Q4" s="165"/>
    </row>
    <row r="5" spans="1:17" ht="21.75" thickBot="1">
      <c r="A5" s="170"/>
      <c r="B5" s="1401" t="s">
        <v>118</v>
      </c>
      <c r="C5" s="1402"/>
      <c r="D5" s="1402"/>
      <c r="E5" s="1402"/>
      <c r="F5" s="1402"/>
      <c r="G5" s="1403"/>
      <c r="I5" s="772"/>
      <c r="K5" s="170"/>
      <c r="L5" s="1401" t="s">
        <v>119</v>
      </c>
      <c r="M5" s="1402"/>
      <c r="N5" s="1402"/>
      <c r="O5" s="1402"/>
      <c r="P5" s="1402"/>
      <c r="Q5" s="1403"/>
    </row>
    <row r="6" spans="1:17" ht="18.75" thickBot="1">
      <c r="A6" s="169"/>
      <c r="B6" s="768" t="s">
        <v>25</v>
      </c>
      <c r="C6" s="769" t="s">
        <v>14</v>
      </c>
      <c r="D6" s="769" t="s">
        <v>252</v>
      </c>
      <c r="E6" s="771" t="s">
        <v>534</v>
      </c>
      <c r="F6" s="771" t="s">
        <v>535</v>
      </c>
      <c r="G6" s="770" t="s">
        <v>149</v>
      </c>
      <c r="I6" s="772"/>
      <c r="K6" s="169"/>
      <c r="L6" s="768" t="s">
        <v>25</v>
      </c>
      <c r="M6" s="769" t="s">
        <v>14</v>
      </c>
      <c r="N6" s="769" t="s">
        <v>252</v>
      </c>
      <c r="O6" s="771" t="s">
        <v>534</v>
      </c>
      <c r="P6" s="771" t="s">
        <v>535</v>
      </c>
      <c r="Q6" s="770" t="s">
        <v>149</v>
      </c>
    </row>
    <row r="7" spans="1:17" ht="18.75" thickBot="1">
      <c r="A7" s="173" t="s">
        <v>116</v>
      </c>
      <c r="B7" s="174">
        <f>'II-1º ANO'!D11</f>
        <v>0.82608695652173914</v>
      </c>
      <c r="C7" s="174">
        <f>'II-1º ANO'!F11</f>
        <v>0.82608695652173914</v>
      </c>
      <c r="D7" s="174">
        <f>'II-1º ANO'!H11</f>
        <v>0.93478260869565222</v>
      </c>
      <c r="E7" s="775">
        <f>'II-1º ANO'!J11</f>
        <v>0.93478260869565222</v>
      </c>
      <c r="F7" s="775">
        <f>'II-1º ANO'!L11</f>
        <v>0.97826086956521741</v>
      </c>
      <c r="G7" s="767">
        <f>AVERAGE(B7:F7)</f>
        <v>0.9</v>
      </c>
      <c r="I7" s="448"/>
      <c r="K7" s="173" t="s">
        <v>116</v>
      </c>
      <c r="L7" s="174">
        <f>'II-1º ANO'!D31</f>
        <v>0.7142857142857143</v>
      </c>
      <c r="M7" s="174">
        <f>'II-1º ANO'!F31</f>
        <v>0.8214285714285714</v>
      </c>
      <c r="N7" s="174">
        <f>'II-1º ANO'!H31</f>
        <v>0.9821428571428571</v>
      </c>
      <c r="O7" s="775">
        <f>'II-1º ANO'!J31</f>
        <v>1</v>
      </c>
      <c r="P7" s="775">
        <f>'II-1º ANO'!L31</f>
        <v>1</v>
      </c>
      <c r="Q7" s="767">
        <f>AVERAGE(L7:P7)</f>
        <v>0.90357142857142847</v>
      </c>
    </row>
    <row r="8" spans="1:17" ht="18.75" thickBot="1">
      <c r="A8" s="173" t="s">
        <v>114</v>
      </c>
      <c r="B8" s="174">
        <f>'III-2º ANO'!D12</f>
        <v>0.79710144927536231</v>
      </c>
      <c r="C8" s="174">
        <f>'III-2º ANO'!F12</f>
        <v>0.69565217391304346</v>
      </c>
      <c r="D8" s="174">
        <f>'III-2º ANO'!H12</f>
        <v>0.95652173913043481</v>
      </c>
      <c r="E8" s="775">
        <f>'III-2º ANO'!J12</f>
        <v>0.95652173913043481</v>
      </c>
      <c r="F8" s="775">
        <f>'III-2º ANO'!L12</f>
        <v>0.98550724637681164</v>
      </c>
      <c r="G8" s="767">
        <f>AVERAGE(B8:F8)</f>
        <v>0.87826086956521743</v>
      </c>
      <c r="I8" s="448"/>
      <c r="K8" s="173" t="s">
        <v>114</v>
      </c>
      <c r="L8" s="174">
        <f>'III-2º ANO'!D34</f>
        <v>0.75438596491228072</v>
      </c>
      <c r="M8" s="174">
        <f>'III-2º ANO'!F34</f>
        <v>0.75438596491228072</v>
      </c>
      <c r="N8" s="174">
        <f>'III-2º ANO'!H34</f>
        <v>0.85964912280701755</v>
      </c>
      <c r="O8" s="775">
        <f>'III-2º ANO'!J34</f>
        <v>0.92982456140350878</v>
      </c>
      <c r="P8" s="775">
        <f>'III-2º ANO'!L34</f>
        <v>0.98245614035087714</v>
      </c>
      <c r="Q8" s="767">
        <f>AVERAGE(L8:P8)</f>
        <v>0.85614035087719276</v>
      </c>
    </row>
    <row r="9" spans="1:17" ht="18.75" thickBot="1">
      <c r="A9" s="173" t="s">
        <v>115</v>
      </c>
      <c r="B9" s="174">
        <f>'IV-3º ANO'!D12</f>
        <v>0.96923076923076923</v>
      </c>
      <c r="C9" s="174">
        <f>'IV-3º ANO'!F12</f>
        <v>0.93846153846153846</v>
      </c>
      <c r="D9" s="174">
        <f>'IV-3º ANO'!H12</f>
        <v>1</v>
      </c>
      <c r="E9" s="775">
        <f>'IV-3º ANO'!J12</f>
        <v>1</v>
      </c>
      <c r="F9" s="775">
        <f>'IV-3º ANO'!L12</f>
        <v>1</v>
      </c>
      <c r="G9" s="767">
        <f>AVERAGE(B9:F9)</f>
        <v>0.98153846153846158</v>
      </c>
      <c r="I9" s="448"/>
      <c r="K9" s="173" t="s">
        <v>115</v>
      </c>
      <c r="L9" s="174">
        <f>'IV-3º ANO'!D35</f>
        <v>0.77272727272727271</v>
      </c>
      <c r="M9" s="174">
        <f>'IV-3º ANO'!F35</f>
        <v>0.81818181818181823</v>
      </c>
      <c r="N9" s="174">
        <f>'IV-3º ANO'!H35</f>
        <v>0.93939393939393945</v>
      </c>
      <c r="O9" s="775">
        <f>'IV-3º ANO'!J35</f>
        <v>0.80303030303030298</v>
      </c>
      <c r="P9" s="775">
        <f>'IV-3º ANO'!L35</f>
        <v>0.95454545454545459</v>
      </c>
      <c r="Q9" s="767">
        <f>AVERAGE(L9:P9)</f>
        <v>0.85757575757575744</v>
      </c>
    </row>
    <row r="10" spans="1:17" ht="18.75" thickBot="1">
      <c r="A10" s="173" t="s">
        <v>117</v>
      </c>
      <c r="B10" s="174">
        <f>'V-4º ANO'!D12</f>
        <v>0.8783783783783784</v>
      </c>
      <c r="C10" s="174">
        <f>'V-4º ANO'!F12</f>
        <v>0.83783783783783783</v>
      </c>
      <c r="D10" s="174">
        <f>'V-4º ANO'!H12</f>
        <v>0.89189189189189189</v>
      </c>
      <c r="E10" s="775">
        <f>'V-4º ANO'!J12</f>
        <v>0.91891891891891897</v>
      </c>
      <c r="F10" s="775">
        <f>'V-4º ANO'!L12</f>
        <v>0.94594594594594594</v>
      </c>
      <c r="G10" s="767">
        <f>AVERAGE(B10:F10)</f>
        <v>0.89459459459459456</v>
      </c>
      <c r="I10" s="448"/>
      <c r="K10" s="173" t="s">
        <v>117</v>
      </c>
      <c r="L10" s="174">
        <f>'V-4º ANO'!D36</f>
        <v>0.828125</v>
      </c>
      <c r="M10" s="174">
        <f>'V-4º ANO'!F36</f>
        <v>0.859375</v>
      </c>
      <c r="N10" s="174">
        <f>'V-4º ANO'!H36</f>
        <v>0.90625</v>
      </c>
      <c r="O10" s="775">
        <f>'V-4º ANO'!J36</f>
        <v>1</v>
      </c>
      <c r="P10" s="775">
        <f>'V-4º ANO'!L36</f>
        <v>1</v>
      </c>
      <c r="Q10" s="767">
        <f>AVERAGE(L10:P10)</f>
        <v>0.91874999999999996</v>
      </c>
    </row>
    <row r="11" spans="1:17" s="889" customFormat="1" ht="18.75" thickBot="1">
      <c r="A11" s="766" t="s">
        <v>152</v>
      </c>
      <c r="B11" s="774">
        <f>('II-1º ANO'!C11+'III-2º ANO'!C12+'IV-3º ANO'!C12+'V-4º ANO'!C12)/('V-4º ANO'!B12+'IV-3º ANO'!B12+'III-2º ANO'!B12+'II-1º ANO'!B11)</f>
        <v>0.87007874015748032</v>
      </c>
      <c r="C11" s="774">
        <f>('II-1º ANO'!E11+'III-2º ANO'!E12+'IV-3º ANO'!E12+'V-4º ANO'!E12)/('V-4º ANO'!B12+'IV-3º ANO'!B12+'III-2º ANO'!B12+'II-1º ANO'!B11)</f>
        <v>0.82283464566929132</v>
      </c>
      <c r="D11" s="774">
        <f>('II-1º ANO'!F11+'III-2º ANO'!F12+'IV-3º ANO'!F12+'V-4º ANO'!F12)/('V-4º ANO'!D12+'IV-3º ANO'!D12+'III-2º ANO'!D12+'II-1º ANO'!D11)</f>
        <v>0.95022497163438868</v>
      </c>
      <c r="E11" s="774">
        <f>('II-1º ANO'!I11+'III-2º ANO'!I12+'IV-3º ANO'!I12+'V-4º ANO'!I12)/('V-4º ANO'!B12+'IV-3º ANO'!B12+'III-2º ANO'!B12+'II-1º ANO'!B11)</f>
        <v>0.952755905511811</v>
      </c>
      <c r="F11" s="774">
        <f>('II-1º ANO'!K11+'III-2º ANO'!K12+'IV-3º ANO'!K12+'V-4º ANO'!K12)/('V-4º ANO'!B12+'IV-3º ANO'!B12+'III-2º ANO'!B12+'II-1º ANO'!B11)</f>
        <v>0.97637795275590555</v>
      </c>
      <c r="G11" s="767">
        <f>AVERAGE(B11:F11)</f>
        <v>0.91445444314577551</v>
      </c>
      <c r="H11"/>
      <c r="I11" s="773"/>
      <c r="J11"/>
      <c r="K11" s="766" t="s">
        <v>152</v>
      </c>
      <c r="L11" s="774">
        <f>(   'II-1º ANO'!C31+'III-2º ANO'!C34+'IV-3º ANO'!C35+'V-4º ANO'!C36)/('V-4º ANO'!B36+'IV-3º ANO'!B35+'III-2º ANO'!B34+'II-1º ANO'!B31)</f>
        <v>0.76954732510288071</v>
      </c>
      <c r="M11" s="774">
        <f>('II-1º ANO'!E31+'III-2º ANO'!E34+'IV-3º ANO'!E35+'V-4º ANO'!E36)/('V-4º ANO'!B36+'IV-3º ANO'!B35+'III-2º ANO'!B34+'II-1º ANO'!B31)</f>
        <v>0.81481481481481477</v>
      </c>
      <c r="N11" s="774">
        <f>('II-1º ANO'!G31+'III-2º ANO'!G34+'IV-3º ANO'!G35+'V-4º ANO'!G36)/('V-4º ANO'!B36+'IV-3º ANO'!B35+'III-2º ANO'!B34+'II-1º ANO'!B31)</f>
        <v>0.92181069958847739</v>
      </c>
      <c r="O11" s="774">
        <f>('II-1º ANO'!I31+'III-2º ANO'!I34+'IV-3º ANO'!I35+'V-4º ANO'!I36)/('V-4º ANO'!B36+'IV-3º ANO'!B35+'III-2º ANO'!B34+'II-1º ANO'!B31)</f>
        <v>0.93004115226337447</v>
      </c>
      <c r="P11" s="774">
        <f>('II-1º ANO'!K31+'III-2º ANO'!K34+'IV-3º ANO'!K35+'V-4º ANO'!K36)/('V-4º ANO'!B36+'IV-3º ANO'!B35+'III-2º ANO'!B34+'II-1º ANO'!B31)</f>
        <v>0.98353909465020573</v>
      </c>
      <c r="Q11" s="767">
        <f>AVERAGE(L11:P11)</f>
        <v>0.88395061728395063</v>
      </c>
    </row>
    <row r="12" spans="1:17" s="889" customFormat="1" ht="18.75" thickBot="1">
      <c r="A12" s="886"/>
      <c r="B12" s="887"/>
      <c r="C12" s="887"/>
      <c r="D12" s="887"/>
      <c r="E12" s="887"/>
      <c r="F12" s="887"/>
      <c r="G12" s="888"/>
      <c r="I12" s="886"/>
      <c r="K12" s="886"/>
      <c r="L12" s="887"/>
      <c r="M12" s="887"/>
      <c r="N12" s="887"/>
      <c r="O12" s="887"/>
      <c r="P12" s="887"/>
      <c r="Q12" s="888"/>
    </row>
    <row r="13" spans="1:17" ht="17.25" customHeight="1" thickBot="1">
      <c r="A13" s="886"/>
      <c r="B13" s="887"/>
      <c r="C13" s="887"/>
      <c r="D13" s="169"/>
      <c r="E13" s="1010" t="s">
        <v>25</v>
      </c>
      <c r="F13" s="1011" t="s">
        <v>14</v>
      </c>
      <c r="G13" s="1011" t="s">
        <v>252</v>
      </c>
      <c r="H13" s="1012" t="s">
        <v>534</v>
      </c>
      <c r="I13" s="1404" t="s">
        <v>535</v>
      </c>
      <c r="J13" s="1405"/>
      <c r="K13" s="770" t="s">
        <v>149</v>
      </c>
      <c r="L13" s="887"/>
      <c r="M13" s="887"/>
      <c r="N13" s="887"/>
      <c r="O13" s="887"/>
      <c r="P13" s="887"/>
      <c r="Q13" s="888"/>
    </row>
    <row r="14" spans="1:17" ht="21.75" customHeight="1" thickBot="1">
      <c r="D14" s="885" t="s">
        <v>200</v>
      </c>
      <c r="E14" s="174">
        <f>('II-1º ANO'!C11+'II-1º ANO'!C31+'III-2º ANO'!C12+'III-2º ANO'!C34+'IV-3º ANO'!C12+'IV-3º ANO'!C35+'V-4º ANO'!C12+'V-4º ANO'!C36)/('II-1º ANO'!B11+'II-1º ANO'!B31+'III-2º ANO'!B12+'III-2º ANO'!B34+'IV-3º ANO'!B12+'IV-3º ANO'!B35+'V-4º ANO'!B12+'V-4º ANO'!B36)</f>
        <v>0.82092555331991957</v>
      </c>
      <c r="F14" s="174">
        <f>('II-1º ANO'!E11+'II-1º ANO'!E31+'III-2º ANO'!E12+'III-2º ANO'!E34+'IV-3º ANO'!E12+'IV-3º ANO'!E35+'V-4º ANO'!E12+'V-4º ANO'!E36)/('II-1º ANO'!B11+'II-1º ANO'!B31+'III-2º ANO'!B12+'III-2º ANO'!B34+'IV-3º ANO'!B12+'IV-3º ANO'!B35+'V-4º ANO'!B12+'V-4º ANO'!B36)</f>
        <v>0.81891348088531191</v>
      </c>
      <c r="G14" s="174">
        <f>('II-1º ANO'!G11+'II-1º ANO'!G31+'III-2º ANO'!G12+'III-2º ANO'!G34+'IV-3º ANO'!G12+'IV-3º ANO'!G35+'V-4º ANO'!G12+'V-4º ANO'!G36)/('II-1º ANO'!B11+'II-1º ANO'!B31+'III-2º ANO'!B12+'III-2º ANO'!B34+'IV-3º ANO'!B12+'IV-3º ANO'!B35+'V-4º ANO'!B12+'V-4º ANO'!B36)</f>
        <v>0.9336016096579477</v>
      </c>
      <c r="H14" s="174">
        <f>('II-1º ANO'!I11+'II-1º ANO'!I31+'III-2º ANO'!I12+'III-2º ANO'!I34+'IV-3º ANO'!I12+'IV-3º ANO'!I35+'V-4º ANO'!I12+'V-4º ANO'!I36)/('II-1º ANO'!B11+'II-1º ANO'!B31+'III-2º ANO'!B12+'III-2º ANO'!B34+'IV-3º ANO'!B12+'IV-3º ANO'!B35+'V-4º ANO'!B12+'V-4º ANO'!B36)</f>
        <v>0.94164989939637822</v>
      </c>
      <c r="I14" s="1406">
        <f>('II-1º ANO'!K11+'II-1º ANO'!K31+'III-2º ANO'!K12+'III-2º ANO'!K34+'IV-3º ANO'!K12+'IV-3º ANO'!K35+'V-4º ANO'!K12+'V-4º ANO'!K36)/('II-1º ANO'!B11+'II-1º ANO'!B31+'III-2º ANO'!B12+'III-2º ANO'!B34+'IV-3º ANO'!B12+'IV-3º ANO'!B35+'V-4º ANO'!B12+'V-4º ANO'!B36)</f>
        <v>0.97987927565392352</v>
      </c>
      <c r="J14" s="1407"/>
      <c r="K14" s="767">
        <f>AVERAGE(E14:I14)</f>
        <v>0.89899396378269603</v>
      </c>
      <c r="L14" s="169"/>
      <c r="M14" s="169"/>
      <c r="N14" s="169"/>
    </row>
    <row r="15" spans="1:17" s="889" customFormat="1" ht="21.75" customHeight="1">
      <c r="D15" s="957"/>
      <c r="E15" s="887"/>
      <c r="F15" s="887"/>
      <c r="G15" s="887"/>
      <c r="H15" s="958"/>
      <c r="I15" s="958"/>
      <c r="J15" s="888"/>
      <c r="K15" s="959"/>
      <c r="L15" s="959"/>
      <c r="M15" s="959"/>
      <c r="N15" s="959"/>
    </row>
    <row r="16" spans="1:17" ht="33" thickBot="1">
      <c r="A16" s="1399" t="s">
        <v>154</v>
      </c>
      <c r="B16" s="1399"/>
      <c r="C16" s="1399"/>
      <c r="D16" s="1399"/>
      <c r="E16" s="1399"/>
      <c r="F16" s="1399"/>
      <c r="G16" s="1399"/>
      <c r="H16" s="1399"/>
      <c r="I16" s="1399"/>
      <c r="J16" s="1399"/>
      <c r="K16" s="1399"/>
      <c r="L16" s="1399"/>
      <c r="M16" s="1399"/>
      <c r="N16" s="1399"/>
      <c r="O16" s="166"/>
      <c r="P16" s="166"/>
      <c r="Q16" s="166"/>
    </row>
    <row r="17" spans="1:17" ht="18.75" thickBot="1">
      <c r="B17" s="177"/>
      <c r="C17" s="1009" t="s">
        <v>25</v>
      </c>
      <c r="D17" s="1009" t="s">
        <v>608</v>
      </c>
      <c r="E17" s="1009" t="s">
        <v>24</v>
      </c>
      <c r="F17" s="1009" t="s">
        <v>82</v>
      </c>
      <c r="G17" s="1009" t="s">
        <v>282</v>
      </c>
      <c r="H17" s="1009" t="s">
        <v>59</v>
      </c>
      <c r="I17" s="1009" t="s">
        <v>197</v>
      </c>
      <c r="J17" s="1009" t="s">
        <v>198</v>
      </c>
      <c r="K17" s="1009" t="s">
        <v>80</v>
      </c>
      <c r="L17" s="1009" t="s">
        <v>74</v>
      </c>
      <c r="M17" s="172" t="s">
        <v>149</v>
      </c>
      <c r="N17" s="179"/>
      <c r="P17" s="132"/>
      <c r="Q17" s="132"/>
    </row>
    <row r="18" spans="1:17" ht="18.75" thickBot="1">
      <c r="B18" s="173" t="s">
        <v>1</v>
      </c>
      <c r="C18" s="174">
        <f>'VI-5º ANO'!D17</f>
        <v>0.80165289256198347</v>
      </c>
      <c r="D18" s="174">
        <f>'VI-5º ANO'!F17</f>
        <v>0.6</v>
      </c>
      <c r="E18" s="174">
        <f>'VI-5º ANO'!H17</f>
        <v>0.84126984126984128</v>
      </c>
      <c r="F18" s="174">
        <f>'VI-5º ANO'!J17</f>
        <v>0.89682539682539686</v>
      </c>
      <c r="G18" s="174">
        <f>'VI-5º ANO'!L17</f>
        <v>0.76190476190476186</v>
      </c>
      <c r="H18" s="174">
        <f>'VI-5º ANO'!N17</f>
        <v>0.90476190476190477</v>
      </c>
      <c r="I18" s="174">
        <f>'VI-5º ANO'!P17</f>
        <v>0.92063492063492058</v>
      </c>
      <c r="J18" s="174">
        <f>'VI-5º ANO'!R17</f>
        <v>0.91269841269841268</v>
      </c>
      <c r="K18" s="174">
        <f>'VI-5º ANO'!T17</f>
        <v>0.86507936507936511</v>
      </c>
      <c r="L18" s="174">
        <f>'VI-5º ANO'!V17</f>
        <v>0.98412698412698407</v>
      </c>
      <c r="M18" s="175">
        <f>AVERAGE(C18:L18)</f>
        <v>0.84889544798635708</v>
      </c>
      <c r="N18" s="179"/>
      <c r="P18" s="133"/>
      <c r="Q18" s="132"/>
    </row>
    <row r="19" spans="1:17" ht="18.75" thickBot="1">
      <c r="B19" s="173" t="s">
        <v>2</v>
      </c>
      <c r="C19" s="174">
        <f>'VII-6º ANO'!D16</f>
        <v>0.77868852459016391</v>
      </c>
      <c r="D19" s="174">
        <f>'VII-6º ANO'!F16</f>
        <v>0.625</v>
      </c>
      <c r="E19" s="174">
        <f>'VII-6º ANO'!H16</f>
        <v>0.92307692307692313</v>
      </c>
      <c r="F19" s="174">
        <f>'VII-6º ANO'!J16</f>
        <v>0.86923076923076925</v>
      </c>
      <c r="G19" s="174">
        <f>'VII-6º ANO'!L16</f>
        <v>0.74615384615384617</v>
      </c>
      <c r="H19" s="174">
        <f>'VII-6º ANO'!N16</f>
        <v>0.87692307692307692</v>
      </c>
      <c r="I19" s="174">
        <f>'VII-6º ANO'!P16</f>
        <v>0.91538461538461535</v>
      </c>
      <c r="J19" s="174">
        <f>'VII-6º ANO'!R16</f>
        <v>0.89230769230769236</v>
      </c>
      <c r="K19" s="174">
        <f>'VII-6º ANO'!T16</f>
        <v>0.93846153846153846</v>
      </c>
      <c r="L19" s="174">
        <f>'VII-6º ANO'!V16</f>
        <v>0.93846153846153846</v>
      </c>
      <c r="M19" s="175">
        <f>AVERAGE(C19:L19)</f>
        <v>0.8503688524590165</v>
      </c>
      <c r="N19" s="179"/>
      <c r="P19" s="133"/>
      <c r="Q19" s="133"/>
    </row>
    <row r="20" spans="1:17" ht="18.75" thickBot="1">
      <c r="B20" s="172" t="s">
        <v>154</v>
      </c>
      <c r="C20" s="176">
        <f>('VI-5º ANO'!C17+'VII-6º ANO'!C16)/('VI-5º ANO'!B17-5+'VII-6º ANO'!B16-8)</f>
        <v>0.79012345679012341</v>
      </c>
      <c r="D20" s="176">
        <f>('VI-5º ANO'!E17+'VII-6º ANO'!E16)/(5+8)</f>
        <v>0.61538461538461542</v>
      </c>
      <c r="E20" s="176">
        <f>('VI-5º ANO'!G17+'VII-6º ANO'!G16)/('VII-6º ANO'!B16+'VI-5º ANO'!B17-2)</f>
        <v>0.88976377952755903</v>
      </c>
      <c r="F20" s="176">
        <f>('VI-5º ANO'!I17+'VII-6º ANO'!I16)/('VII-6º ANO'!B16+'VI-5º ANO'!B17-2)</f>
        <v>0.88976377952755903</v>
      </c>
      <c r="G20" s="176">
        <f>('VI-5º ANO'!K17+'VII-6º ANO'!K16)/('VI-5º ANO'!B17+'VII-6º ANO'!B16)</f>
        <v>0.75390625</v>
      </c>
      <c r="H20" s="176">
        <f>('VI-5º ANO'!M17+'VII-6º ANO'!M16)/('VII-6º ANO'!B16+'VI-5º ANO'!B17-2)</f>
        <v>0.89763779527559051</v>
      </c>
      <c r="I20" s="176">
        <f>('VI-5º ANO'!O17+'VII-6º ANO'!O16)/('VII-6º ANO'!B16+'VI-5º ANO'!B17-2)</f>
        <v>0.92519685039370081</v>
      </c>
      <c r="J20" s="176">
        <f>('VI-5º ANO'!Q17+'VII-6º ANO'!Q16)/('VII-6º ANO'!B16+'VI-5º ANO'!B17-2)</f>
        <v>0.90944881889763785</v>
      </c>
      <c r="K20" s="176">
        <f>('VI-5º ANO'!S17+'VII-6º ANO'!S16)/('VII-6º ANO'!B16+'VI-5º ANO'!B17-2)</f>
        <v>0.90944881889763785</v>
      </c>
      <c r="L20" s="175">
        <f>('VI-5º ANO'!U17+'VII-6º ANO'!U16)/('VII-6º ANO'!B16+'VI-5º ANO'!B17)</f>
        <v>0.9609375</v>
      </c>
      <c r="M20" s="175">
        <f>AVERAGE(C20:L20)</f>
        <v>0.85416116646944251</v>
      </c>
      <c r="N20" s="179"/>
      <c r="P20" s="132"/>
      <c r="Q20" s="133"/>
    </row>
    <row r="21" spans="1:17" ht="15">
      <c r="A21" s="131"/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28"/>
      <c r="O21" s="28"/>
      <c r="P21" s="132"/>
      <c r="Q21" s="133"/>
    </row>
    <row r="22" spans="1:17" ht="33" thickBot="1">
      <c r="A22" s="1399" t="s">
        <v>157</v>
      </c>
      <c r="B22" s="1399"/>
      <c r="C22" s="1399"/>
      <c r="D22" s="1399"/>
      <c r="E22" s="1399"/>
      <c r="F22" s="1399"/>
      <c r="G22" s="1399"/>
      <c r="H22" s="1399"/>
      <c r="I22" s="1399"/>
      <c r="J22" s="1399"/>
      <c r="K22" s="1399"/>
      <c r="L22" s="1399"/>
      <c r="M22" s="1399"/>
      <c r="N22" s="1399"/>
      <c r="O22" s="1399"/>
      <c r="P22" s="1399"/>
      <c r="Q22" s="133"/>
    </row>
    <row r="23" spans="1:17" ht="18.75" thickBot="1">
      <c r="A23" s="180"/>
      <c r="B23" s="1009" t="s">
        <v>25</v>
      </c>
      <c r="C23" s="1009" t="s">
        <v>608</v>
      </c>
      <c r="D23" s="1009" t="s">
        <v>557</v>
      </c>
      <c r="E23" s="1009" t="s">
        <v>257</v>
      </c>
      <c r="F23" s="1009" t="s">
        <v>258</v>
      </c>
      <c r="G23" s="1009" t="s">
        <v>43</v>
      </c>
      <c r="H23" s="1009" t="s">
        <v>42</v>
      </c>
      <c r="I23" s="1009" t="s">
        <v>14</v>
      </c>
      <c r="J23" s="1009" t="s">
        <v>79</v>
      </c>
      <c r="K23" s="1009" t="s">
        <v>41</v>
      </c>
      <c r="L23" s="1009" t="s">
        <v>78</v>
      </c>
      <c r="M23" s="1009" t="s">
        <v>50</v>
      </c>
      <c r="N23" s="1009" t="s">
        <v>74</v>
      </c>
      <c r="O23" s="1009" t="s">
        <v>80</v>
      </c>
      <c r="P23" s="172" t="s">
        <v>149</v>
      </c>
    </row>
    <row r="24" spans="1:17" ht="18.75" thickBot="1">
      <c r="A24" s="173" t="s">
        <v>3</v>
      </c>
      <c r="B24" s="203">
        <f>'VIII-7º ANO'!D17</f>
        <v>0.79831932773109249</v>
      </c>
      <c r="C24" s="203">
        <f>'VIII-7º ANO'!F17</f>
        <v>1</v>
      </c>
      <c r="D24" s="203">
        <f>'VIII-7º ANO'!H17</f>
        <v>0.63492063492063489</v>
      </c>
      <c r="E24" s="203">
        <f>'VIII-7º ANO'!J17</f>
        <v>0.76190476190476186</v>
      </c>
      <c r="F24" s="825"/>
      <c r="G24" s="203">
        <f>'VIII-7º ANO'!L17</f>
        <v>0.67460317460317465</v>
      </c>
      <c r="H24" s="203">
        <f>'VIII-7º ANO'!N17</f>
        <v>0.45238095238095238</v>
      </c>
      <c r="I24" s="203">
        <f>'VIII-7º ANO'!P17</f>
        <v>0.65873015873015872</v>
      </c>
      <c r="J24" s="203">
        <f>'VIII-7º ANO'!R17</f>
        <v>0.74603174603174605</v>
      </c>
      <c r="K24" s="203">
        <f>'VIII-7º ANO'!T17</f>
        <v>0.68253968253968256</v>
      </c>
      <c r="L24" s="203">
        <f>'VIII-7º ANO'!V17</f>
        <v>0.81746031746031744</v>
      </c>
      <c r="M24" s="203">
        <f>'VIII-7º ANO'!X17</f>
        <v>0.92063492063492058</v>
      </c>
      <c r="N24" s="203">
        <f>'VIII-7º ANO'!Z17</f>
        <v>0.89682539682539686</v>
      </c>
      <c r="O24" s="203">
        <f>'VIII-7º ANO'!AB17</f>
        <v>0.81746031746031744</v>
      </c>
      <c r="P24" s="175">
        <f>AVERAGE(B24:O24)</f>
        <v>0.75860087624793526</v>
      </c>
    </row>
    <row r="25" spans="1:17" ht="18.75" thickBot="1">
      <c r="A25" s="173" t="s">
        <v>4</v>
      </c>
      <c r="B25" s="203">
        <f>'IX-8º ANO'!D15</f>
        <v>0.72115384615384615</v>
      </c>
      <c r="C25" s="203">
        <f>'IX-8º ANO'!F15</f>
        <v>1</v>
      </c>
      <c r="D25" s="203">
        <f>'IX-8º ANO'!H15</f>
        <v>0.70909090909090911</v>
      </c>
      <c r="E25" s="203">
        <f>'IX-8º ANO'!J15</f>
        <v>0.82692307692307687</v>
      </c>
      <c r="F25" s="203">
        <f>'IX-8º ANO'!L15</f>
        <v>0.81034482758620685</v>
      </c>
      <c r="G25" s="203">
        <f>'IX-8º ANO'!N15</f>
        <v>0.84403669724770647</v>
      </c>
      <c r="H25" s="203">
        <f>'IX-8º ANO'!P15</f>
        <v>0.67889908256880738</v>
      </c>
      <c r="I25" s="203">
        <f>'IX-8º ANO'!R15</f>
        <v>0.56880733944954132</v>
      </c>
      <c r="J25" s="203">
        <f>'IX-8º ANO'!T15</f>
        <v>0.88073394495412849</v>
      </c>
      <c r="K25" s="203">
        <f>'IX-8º ANO'!V15</f>
        <v>0.83486238532110091</v>
      </c>
      <c r="L25" s="203">
        <f>'IX-8º ANO'!X15</f>
        <v>0.88073394495412849</v>
      </c>
      <c r="M25" s="203">
        <f>'IX-8º ANO'!Z15</f>
        <v>1</v>
      </c>
      <c r="N25" s="203">
        <f>'IX-8º ANO'!AB15</f>
        <v>0.93577981651376152</v>
      </c>
      <c r="O25" s="203">
        <f>'IX-8º ANO'!AD15</f>
        <v>1</v>
      </c>
      <c r="P25" s="175">
        <f>AVERAGE(B25:O25)</f>
        <v>0.83509756219737241</v>
      </c>
    </row>
    <row r="26" spans="1:17" ht="18.75" thickBot="1">
      <c r="A26" s="173" t="s">
        <v>5</v>
      </c>
      <c r="B26" s="203">
        <f>'X-9º ANO'!D13</f>
        <v>0.85185185185185186</v>
      </c>
      <c r="C26" s="203">
        <f>'X-9º ANO'!F13</f>
        <v>1</v>
      </c>
      <c r="D26" s="203">
        <f>'X-9º ANO'!H13</f>
        <v>0.69767441860465118</v>
      </c>
      <c r="E26" s="203">
        <f>'X-9º ANO'!J13</f>
        <v>0.77083333333333337</v>
      </c>
      <c r="F26" s="203">
        <f>'X-9º ANO'!L13</f>
        <v>0.8571428571428571</v>
      </c>
      <c r="G26" s="203">
        <f>'X-9º ANO'!P13</f>
        <v>0.87209302325581395</v>
      </c>
      <c r="H26" s="203">
        <f>'X-9º ANO'!R13</f>
        <v>0.55813953488372092</v>
      </c>
      <c r="I26" s="203">
        <f>'X-9º ANO'!T13</f>
        <v>0.88372093023255816</v>
      </c>
      <c r="J26" s="203">
        <f>'X-9º ANO'!V13</f>
        <v>0.67441860465116277</v>
      </c>
      <c r="K26" s="203">
        <f>'X-9º ANO'!X13</f>
        <v>0.91860465116279066</v>
      </c>
      <c r="L26" s="203">
        <f>'X-9º ANO'!X13</f>
        <v>0.91860465116279066</v>
      </c>
      <c r="M26" s="203">
        <f>'X-9º ANO'!AD13</f>
        <v>0.96511627906976749</v>
      </c>
      <c r="N26" s="256">
        <f>'X-9º ANO'!Z13</f>
        <v>0.97674418604651159</v>
      </c>
      <c r="O26" s="825"/>
      <c r="P26" s="175">
        <f>AVERAGE(B26:O26)</f>
        <v>0.84191879395367775</v>
      </c>
    </row>
    <row r="27" spans="1:17" ht="18.75" thickBot="1">
      <c r="A27" s="172" t="s">
        <v>157</v>
      </c>
      <c r="B27" s="176">
        <f>('VIII-7º ANO'!C17+'IX-8º ANO'!C15+'X-9º ANO'!C13)/('VIII-7º ANO'!B17-7+'IX-8º ANO'!B15-6+'X-9º ANO'!B13-5)</f>
        <v>0.78618421052631582</v>
      </c>
      <c r="C27" s="176">
        <f>('VIII-7º ANO'!E17+'IX-8º ANO'!E15+'X-9º ANO'!E13)/(7+6+5)</f>
        <v>1</v>
      </c>
      <c r="D27" s="176">
        <f>('VIII-7º ANO'!G17+'IX-8º ANO'!G15+'X-9º ANO'!G13)/('VIII-7º ANO'!B17+'IX-8º ANO'!B15+'X-9º ANO'!B13)</f>
        <v>0.67701863354037262</v>
      </c>
      <c r="E27" s="176">
        <f>('VIII-7º ANO'!I17+'IX-8º ANO'!I15+'X-9º ANO'!I13)/('VIII-7º ANO'!B17+18+24+10+22+23)</f>
        <v>0.78923766816143492</v>
      </c>
      <c r="F27" s="176">
        <f>('IX-8º ANO'!K15+'X-9º ANO'!K13)/(17+18+23+18+23)</f>
        <v>0.83838383838383834</v>
      </c>
      <c r="G27" s="176">
        <f>('VIII-7º ANO'!K17+'IX-8º ANO'!M15+'X-9º ANO'!M13)/('VIII-7º ANO'!B17+'IX-8º ANO'!B15+'X-9º ANO'!B13)</f>
        <v>0.7639751552795031</v>
      </c>
      <c r="H27" s="176">
        <f>('VIII-7º ANO'!M17+'IX-8º ANO'!O15+'X-9º ANO'!O13)/('VIII-7º ANO'!B17+'IX-8º ANO'!B15+'X-9º ANO'!B13)</f>
        <v>0.63975155279503104</v>
      </c>
      <c r="I27" s="176">
        <f>('VIII-7º ANO'!O17+'IX-8º ANO'!Q15+'X-9º ANO'!Q13)/('VIII-7º ANO'!B17+'IX-8º ANO'!B15+'X-9º ANO'!B13)</f>
        <v>0.59937888198757761</v>
      </c>
      <c r="J27" s="176">
        <f>('VIII-7º ANO'!Q17+'IX-8º ANO'!S15+'X-9º ANO'!S13)/('VIII-7º ANO'!B17+'IX-8º ANO'!B15+'X-9º ANO'!B13)</f>
        <v>0.82608695652173914</v>
      </c>
      <c r="K27" s="176">
        <f>('VIII-7º ANO'!S17+'IX-8º ANO'!U15+'X-9º ANO'!U13)/('VIII-7º ANO'!B17+'IX-8º ANO'!B15+'X-9º ANO'!B13)</f>
        <v>0.72981366459627328</v>
      </c>
      <c r="L27" s="176">
        <f>('VIII-7º ANO'!U17+'IX-8º ANO'!W15+'X-9º ANO'!W13)/('VIII-7º ANO'!B17+'IX-8º ANO'!B15+'X-9º ANO'!B13)</f>
        <v>0.86335403726708071</v>
      </c>
      <c r="M27" s="176">
        <f>('VIII-7º ANO'!W17+'IX-8º ANO'!Y15+'X-9º ANO'!AC13)/('VIII-7º ANO'!B17+'IX-8º ANO'!B15+'X-9º ANO'!B13)</f>
        <v>0.95652173913043481</v>
      </c>
      <c r="N27" s="176">
        <f>('VIII-7º ANO'!Y17+'IX-8º ANO'!AA15+'X-9º ANO'!Y13)/('VIII-7º ANO'!B17+'IX-8º ANO'!B15+'X-9º ANO'!B13)</f>
        <v>0.9285714285714286</v>
      </c>
      <c r="O27" s="176">
        <f>('VIII-7º ANO'!AA17+'IX-8º ANO'!AC15)/('VIII-7º ANO'!B17+'IX-8º ANO'!B15)</f>
        <v>0.90254237288135597</v>
      </c>
      <c r="P27" s="175">
        <f>AVERAGE(B27:O27)</f>
        <v>0.80720143854588489</v>
      </c>
    </row>
    <row r="28" spans="1:17">
      <c r="A28" s="132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3"/>
      <c r="M28" s="133"/>
      <c r="N28" s="132"/>
      <c r="O28" s="132"/>
      <c r="P28" s="838"/>
      <c r="Q28" s="132"/>
    </row>
    <row r="29" spans="1:17">
      <c r="A29" s="132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3"/>
      <c r="M29" s="133"/>
      <c r="N29" s="132"/>
      <c r="O29" s="132"/>
      <c r="P29" s="132"/>
      <c r="Q29" s="132"/>
    </row>
    <row r="30" spans="1:17" ht="33" thickBot="1">
      <c r="A30" s="1399" t="s">
        <v>93</v>
      </c>
      <c r="B30" s="1399"/>
      <c r="C30" s="1399"/>
      <c r="D30" s="1399"/>
      <c r="E30" s="1399"/>
      <c r="F30" s="1399"/>
      <c r="G30" s="1399"/>
      <c r="H30" s="1399"/>
      <c r="I30" s="1399"/>
      <c r="J30" s="1399"/>
      <c r="K30" s="1399"/>
      <c r="L30" s="1399"/>
      <c r="M30" s="1399"/>
      <c r="N30" s="1399"/>
      <c r="O30" s="1399"/>
      <c r="P30" s="1399"/>
      <c r="Q30" s="168"/>
    </row>
    <row r="31" spans="1:17" ht="18.75" thickBot="1">
      <c r="B31" s="181"/>
      <c r="C31" s="1009" t="s">
        <v>25</v>
      </c>
      <c r="D31" s="1009" t="s">
        <v>76</v>
      </c>
      <c r="E31" s="1009" t="s">
        <v>55</v>
      </c>
      <c r="F31" s="1009" t="s">
        <v>56</v>
      </c>
      <c r="G31" s="1009" t="s">
        <v>75</v>
      </c>
      <c r="H31" s="1009" t="s">
        <v>74</v>
      </c>
      <c r="I31" s="1009" t="s">
        <v>58</v>
      </c>
      <c r="J31" s="1009" t="s">
        <v>150</v>
      </c>
      <c r="K31" s="97" t="s">
        <v>59</v>
      </c>
      <c r="L31" s="172" t="s">
        <v>149</v>
      </c>
      <c r="M31" s="182"/>
    </row>
    <row r="32" spans="1:17" ht="18.75" thickBot="1">
      <c r="A32" s="171"/>
      <c r="B32" s="172" t="s">
        <v>93</v>
      </c>
      <c r="C32" s="174">
        <f>'XI-CEF''S'!D12</f>
        <v>0.64406779661016944</v>
      </c>
      <c r="D32" s="174">
        <f>'XI-CEF''S'!F12</f>
        <v>0.71186440677966101</v>
      </c>
      <c r="E32" s="174">
        <f>'XI-CEF''S'!H12</f>
        <v>0.86440677966101698</v>
      </c>
      <c r="F32" s="174">
        <f>'XI-CEF''S'!J12</f>
        <v>0.96610169491525422</v>
      </c>
      <c r="G32" s="890">
        <f>'XI-CEF''S'!L12</f>
        <v>0.94444444444444442</v>
      </c>
      <c r="H32" s="174">
        <f>'XI-CEF''S'!N12</f>
        <v>0.79661016949152541</v>
      </c>
      <c r="I32" s="174">
        <f>'XI-CEF''S'!P12</f>
        <v>0.66101694915254239</v>
      </c>
      <c r="J32" s="174">
        <f>'XI-CEF''S'!R12</f>
        <v>0.54545454545454541</v>
      </c>
      <c r="K32" s="797">
        <f>'XI-CEF''S'!T12</f>
        <v>0.8666666666666667</v>
      </c>
      <c r="L32" s="175">
        <f>AVERAGE(D32:K32)</f>
        <v>0.79457070707070709</v>
      </c>
      <c r="M32" s="182"/>
    </row>
    <row r="33" spans="1:13" ht="18">
      <c r="A33" s="17"/>
      <c r="B33" s="183"/>
      <c r="C33" s="183"/>
      <c r="D33" s="182"/>
      <c r="E33" s="182"/>
      <c r="F33" s="182"/>
      <c r="G33" s="182"/>
      <c r="H33" s="182"/>
      <c r="I33" s="182"/>
      <c r="J33" s="182"/>
      <c r="K33" s="182"/>
      <c r="L33" s="182"/>
      <c r="M33" s="182"/>
    </row>
    <row r="34" spans="1:13">
      <c r="A34" s="17"/>
      <c r="B34" s="17"/>
      <c r="C34" s="17"/>
    </row>
    <row r="35" spans="1:13">
      <c r="A35" s="17"/>
      <c r="B35" s="17"/>
      <c r="C35" s="17"/>
    </row>
    <row r="36" spans="1:13">
      <c r="A36" s="17"/>
      <c r="B36" s="17"/>
      <c r="C36" s="17"/>
    </row>
    <row r="37" spans="1:13">
      <c r="A37" s="17"/>
      <c r="B37" s="17"/>
      <c r="C37" s="17"/>
    </row>
  </sheetData>
  <mergeCells count="10">
    <mergeCell ref="A4:N4"/>
    <mergeCell ref="A30:P30"/>
    <mergeCell ref="A2:N2"/>
    <mergeCell ref="A3:N3"/>
    <mergeCell ref="A16:N16"/>
    <mergeCell ref="B5:G5"/>
    <mergeCell ref="L5:Q5"/>
    <mergeCell ref="A22:P22"/>
    <mergeCell ref="I13:J13"/>
    <mergeCell ref="I14:J14"/>
  </mergeCells>
  <phoneticPr fontId="0" type="noConversion"/>
  <printOptions horizontalCentered="1"/>
  <pageMargins left="0.74803149606299213" right="0.74803149606299213" top="0.55118110236220474" bottom="0.55118110236220474" header="0.31496062992125984" footer="0.31496062992125984"/>
  <pageSetup paperSize="9" scale="72" orientation="landscape" useFirstPageNumber="1" r:id="rId1"/>
  <headerFooter>
    <oddHeader>&amp;L&amp;"Trebuchet MS,Negrito"&amp;12&amp;K01+010AGRUPAMENTO DE ESCOLAS MIGUEL TORGA&amp;C
&amp;R&amp;"Trebuchet MS,Negrito itálico"&amp;12AUTOAVALIAÇÃO
3ºPeríodo  2012/13
Tabela XIII</oddHeader>
    <oddFooter>&amp;C
&amp;R14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I16"/>
  <sheetViews>
    <sheetView showGridLines="0" workbookViewId="0">
      <selection activeCell="M15" sqref="M15"/>
    </sheetView>
  </sheetViews>
  <sheetFormatPr defaultRowHeight="12.75"/>
  <cols>
    <col min="4" max="4" width="12.5703125" customWidth="1"/>
    <col min="6" max="6" width="12" customWidth="1"/>
    <col min="7" max="7" width="14.140625" customWidth="1"/>
    <col min="9" max="9" width="13.7109375" customWidth="1"/>
  </cols>
  <sheetData>
    <row r="2" spans="1:9" ht="13.5" thickBot="1"/>
    <row r="3" spans="1:9" ht="45.75" thickBot="1">
      <c r="A3" s="152"/>
      <c r="B3" s="152"/>
      <c r="C3" s="268" t="s">
        <v>106</v>
      </c>
      <c r="D3" s="268" t="s">
        <v>452</v>
      </c>
      <c r="E3" s="268" t="s">
        <v>328</v>
      </c>
      <c r="F3" s="534" t="s">
        <v>462</v>
      </c>
      <c r="G3" s="268" t="s">
        <v>451</v>
      </c>
      <c r="H3" s="268" t="s">
        <v>328</v>
      </c>
      <c r="I3" s="534" t="s">
        <v>462</v>
      </c>
    </row>
    <row r="4" spans="1:9" ht="15.75" thickBot="1">
      <c r="A4" s="1390" t="s">
        <v>152</v>
      </c>
      <c r="B4" s="265" t="s">
        <v>352</v>
      </c>
      <c r="C4" s="269">
        <f>'XII-RESUMO'!C7</f>
        <v>0</v>
      </c>
      <c r="D4" s="475" t="e">
        <f>'II-1º ANO'!#REF!+'II-1º ANO'!#REF!</f>
        <v>#REF!</v>
      </c>
      <c r="E4" s="274" t="e">
        <f>'XII-RESUMO'!D7</f>
        <v>#REF!</v>
      </c>
      <c r="F4" s="1408"/>
      <c r="G4" s="475"/>
      <c r="H4" s="274" t="e">
        <f>G4/D4</f>
        <v>#REF!</v>
      </c>
      <c r="I4" s="1408"/>
    </row>
    <row r="5" spans="1:9" ht="15.75" thickBot="1">
      <c r="A5" s="1390"/>
      <c r="B5" s="265" t="s">
        <v>353</v>
      </c>
      <c r="C5" s="269">
        <f>'XII-RESUMO'!C8</f>
        <v>0</v>
      </c>
      <c r="D5" s="475" t="e">
        <f>'III-2º ANO'!M12+'III-2º ANO'!#REF!</f>
        <v>#REF!</v>
      </c>
      <c r="E5" s="274" t="e">
        <f>'XII-RESUMO'!D8</f>
        <v>#REF!</v>
      </c>
      <c r="F5" s="1408"/>
      <c r="G5" s="475"/>
      <c r="H5" s="274" t="e">
        <f t="shared" ref="H5:H16" si="0">G5/D5</f>
        <v>#REF!</v>
      </c>
      <c r="I5" s="1408"/>
    </row>
    <row r="6" spans="1:9" ht="15.75" thickBot="1">
      <c r="A6" s="1390"/>
      <c r="B6" s="265" t="s">
        <v>354</v>
      </c>
      <c r="C6" s="269">
        <f>'XII-RESUMO'!C9</f>
        <v>0</v>
      </c>
      <c r="D6" s="475" t="e">
        <f>'IV-3º ANO'!#REF!+'IV-3º ANO'!#REF!</f>
        <v>#REF!</v>
      </c>
      <c r="E6" s="274" t="e">
        <f>'XII-RESUMO'!D9</f>
        <v>#REF!</v>
      </c>
      <c r="F6" s="1408"/>
      <c r="G6" s="475"/>
      <c r="H6" s="274" t="e">
        <f t="shared" si="0"/>
        <v>#REF!</v>
      </c>
      <c r="I6" s="1408"/>
    </row>
    <row r="7" spans="1:9" ht="15.75" thickBot="1">
      <c r="A7" s="1390"/>
      <c r="B7" s="265" t="s">
        <v>355</v>
      </c>
      <c r="C7" s="269">
        <f>'XII-RESUMO'!C10</f>
        <v>0</v>
      </c>
      <c r="D7" s="475" t="e">
        <f>'V-4º ANO'!#REF!+'V-4º ANO'!#REF!</f>
        <v>#REF!</v>
      </c>
      <c r="E7" s="274" t="e">
        <f>'XII-RESUMO'!D10</f>
        <v>#REF!</v>
      </c>
      <c r="F7" s="1408"/>
      <c r="G7" s="475"/>
      <c r="H7" s="274" t="e">
        <f t="shared" si="0"/>
        <v>#REF!</v>
      </c>
      <c r="I7" s="1408"/>
    </row>
    <row r="8" spans="1:9" ht="15.75" thickBot="1">
      <c r="A8" s="1390"/>
      <c r="B8" s="267" t="s">
        <v>153</v>
      </c>
      <c r="C8" s="281">
        <f>SUM(C4:C7)</f>
        <v>0</v>
      </c>
      <c r="D8" s="488" t="e">
        <f>SUM(D4:D7)</f>
        <v>#REF!</v>
      </c>
      <c r="E8" s="474" t="e">
        <f>'XII-RESUMO'!D11</f>
        <v>#REF!</v>
      </c>
      <c r="F8" s="1408"/>
      <c r="G8" s="535">
        <f>SUM(G4:G7)</f>
        <v>0</v>
      </c>
      <c r="H8" s="474" t="e">
        <f t="shared" si="0"/>
        <v>#REF!</v>
      </c>
      <c r="I8" s="1408"/>
    </row>
    <row r="9" spans="1:9" ht="15.75" thickBot="1">
      <c r="A9" s="1390" t="s">
        <v>154</v>
      </c>
      <c r="B9" s="266" t="s">
        <v>88</v>
      </c>
      <c r="C9" s="269">
        <f>'XII-RESUMO'!C12</f>
        <v>0</v>
      </c>
      <c r="D9" s="475" t="e">
        <f>'VI-5º ANO'!#REF!</f>
        <v>#REF!</v>
      </c>
      <c r="E9" s="274" t="e">
        <f>'XII-RESUMO'!D12</f>
        <v>#REF!</v>
      </c>
      <c r="F9" s="1408"/>
      <c r="G9" s="475" t="s">
        <v>500</v>
      </c>
      <c r="H9" s="274" t="e">
        <f t="shared" si="0"/>
        <v>#VALUE!</v>
      </c>
      <c r="I9" s="1408"/>
    </row>
    <row r="10" spans="1:9" ht="15.75" thickBot="1">
      <c r="A10" s="1390"/>
      <c r="B10" s="266" t="s">
        <v>89</v>
      </c>
      <c r="C10" s="269">
        <f>'XII-RESUMO'!C13</f>
        <v>0</v>
      </c>
      <c r="D10" s="475" t="e">
        <f>'VII-6º ANO'!#REF!</f>
        <v>#REF!</v>
      </c>
      <c r="E10" s="274" t="e">
        <f>'XII-RESUMO'!D13</f>
        <v>#REF!</v>
      </c>
      <c r="F10" s="1408"/>
      <c r="G10" s="475"/>
      <c r="H10" s="274" t="e">
        <f t="shared" si="0"/>
        <v>#REF!</v>
      </c>
      <c r="I10" s="1408"/>
    </row>
    <row r="11" spans="1:9" ht="15.75" thickBot="1">
      <c r="A11" s="1390"/>
      <c r="B11" s="267" t="s">
        <v>155</v>
      </c>
      <c r="C11" s="281">
        <f>SUM(C9:C10)</f>
        <v>0</v>
      </c>
      <c r="D11" s="488" t="e">
        <f>SUM(D9:D10)</f>
        <v>#REF!</v>
      </c>
      <c r="E11" s="474" t="e">
        <f>'XII-RESUMO'!D14</f>
        <v>#REF!</v>
      </c>
      <c r="F11" s="1408"/>
      <c r="G11" s="535">
        <f>SUM(G9:G10)</f>
        <v>0</v>
      </c>
      <c r="H11" s="474" t="e">
        <f t="shared" si="0"/>
        <v>#REF!</v>
      </c>
      <c r="I11" s="1408"/>
    </row>
    <row r="12" spans="1:9" ht="15.75" thickBot="1">
      <c r="A12" s="1390" t="s">
        <v>156</v>
      </c>
      <c r="B12" s="266" t="s">
        <v>90</v>
      </c>
      <c r="C12" s="269">
        <f>'XII-RESUMO'!C15</f>
        <v>0</v>
      </c>
      <c r="D12" s="475" t="e">
        <f>'VIII-7º ANO'!#REF!</f>
        <v>#REF!</v>
      </c>
      <c r="E12" s="274" t="e">
        <f>'XII-RESUMO'!D15</f>
        <v>#REF!</v>
      </c>
      <c r="F12" s="1408"/>
      <c r="G12" s="475" t="s">
        <v>501</v>
      </c>
      <c r="H12" s="274" t="e">
        <f t="shared" si="0"/>
        <v>#VALUE!</v>
      </c>
      <c r="I12" s="1408"/>
    </row>
    <row r="13" spans="1:9" ht="15.75" thickBot="1">
      <c r="A13" s="1390"/>
      <c r="B13" s="266" t="s">
        <v>91</v>
      </c>
      <c r="C13" s="269">
        <f>'XII-RESUMO'!C16</f>
        <v>0</v>
      </c>
      <c r="D13" s="475" t="e">
        <f>'IX-8º ANO'!#REF!</f>
        <v>#REF!</v>
      </c>
      <c r="E13" s="274" t="e">
        <f>'XII-RESUMO'!D16</f>
        <v>#REF!</v>
      </c>
      <c r="F13" s="1408"/>
      <c r="G13" s="475"/>
      <c r="H13" s="274" t="e">
        <f t="shared" si="0"/>
        <v>#REF!</v>
      </c>
      <c r="I13" s="1408"/>
    </row>
    <row r="14" spans="1:9" ht="15.75" thickBot="1">
      <c r="A14" s="1390"/>
      <c r="B14" s="266" t="s">
        <v>92</v>
      </c>
      <c r="C14" s="269">
        <f>'XII-RESUMO'!C17</f>
        <v>0</v>
      </c>
      <c r="D14" s="475" t="e">
        <f>'X-9º ANO'!#REF!</f>
        <v>#REF!</v>
      </c>
      <c r="E14" s="274" t="e">
        <f>'XII-RESUMO'!D17</f>
        <v>#REF!</v>
      </c>
      <c r="F14" s="1408"/>
      <c r="G14" s="475"/>
      <c r="H14" s="274" t="e">
        <f>G14/D14</f>
        <v>#REF!</v>
      </c>
      <c r="I14" s="1408"/>
    </row>
    <row r="15" spans="1:9" ht="15.75" thickBot="1">
      <c r="A15" s="1390"/>
      <c r="B15" s="267" t="s">
        <v>157</v>
      </c>
      <c r="C15" s="281">
        <f>SUM(C12:C14)</f>
        <v>0</v>
      </c>
      <c r="D15" s="489" t="e">
        <f>SUM(D12:D14)</f>
        <v>#REF!</v>
      </c>
      <c r="E15" s="482" t="e">
        <f>'XII-RESUMO'!D18</f>
        <v>#REF!</v>
      </c>
      <c r="F15" s="1408"/>
      <c r="G15" s="536">
        <f>SUM(G12:G14)</f>
        <v>0</v>
      </c>
      <c r="H15" s="474" t="e">
        <f t="shared" si="0"/>
        <v>#REF!</v>
      </c>
      <c r="I15" s="1408"/>
    </row>
    <row r="16" spans="1:9" ht="18.75" thickBot="1">
      <c r="A16" s="1392" t="s">
        <v>261</v>
      </c>
      <c r="B16" s="1393"/>
      <c r="C16" s="316">
        <f>C8+C11+C15</f>
        <v>0</v>
      </c>
      <c r="D16" s="490" t="e">
        <f>D8+D11+D15</f>
        <v>#REF!</v>
      </c>
      <c r="E16" s="483" t="e">
        <f>'XII-RESUMO'!D20</f>
        <v>#REF!</v>
      </c>
      <c r="G16" s="490">
        <f>G8+G11+G15</f>
        <v>0</v>
      </c>
      <c r="H16" s="483" t="e">
        <f t="shared" si="0"/>
        <v>#REF!</v>
      </c>
    </row>
  </sheetData>
  <mergeCells count="10">
    <mergeCell ref="A16:B16"/>
    <mergeCell ref="F4:F8"/>
    <mergeCell ref="F9:F11"/>
    <mergeCell ref="F12:F15"/>
    <mergeCell ref="I4:I8"/>
    <mergeCell ref="I9:I11"/>
    <mergeCell ref="I12:I15"/>
    <mergeCell ref="A4:A8"/>
    <mergeCell ref="A9:A11"/>
    <mergeCell ref="A12:A15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&amp;LAGRUPAMENTO DE ESCOLAS MIGUEL TORGA&amp;CTAXA DE PROGRESSÃO
TAXA DE PROGRESSÃO SEM NEGATIVAS&amp;RAUTO - AVALIAÇÃO
3ºPeríodo  2011/12
Tabela XIV</oddHeader>
    <oddFooter>&amp;R14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4:H37"/>
  <sheetViews>
    <sheetView workbookViewId="0">
      <selection activeCell="J9" sqref="J9"/>
    </sheetView>
  </sheetViews>
  <sheetFormatPr defaultRowHeight="12.75"/>
  <cols>
    <col min="1" max="1" width="9.140625" style="241"/>
    <col min="2" max="2" width="44.140625" style="242" customWidth="1"/>
    <col min="3" max="3" width="12.85546875" style="243" customWidth="1"/>
    <col min="4" max="4" width="13.28515625" style="244" customWidth="1"/>
    <col min="5" max="5" width="14.140625" style="245" customWidth="1"/>
    <col min="6" max="6" width="9.140625" style="191"/>
  </cols>
  <sheetData>
    <row r="4" spans="1:8" ht="50.25" customHeight="1">
      <c r="B4" s="351" t="s">
        <v>505</v>
      </c>
      <c r="C4" s="1409" t="s">
        <v>504</v>
      </c>
      <c r="D4" s="1410"/>
      <c r="E4" s="1411"/>
    </row>
    <row r="5" spans="1:8" ht="50.25" customHeight="1">
      <c r="B5" s="351"/>
      <c r="C5" s="351" t="s">
        <v>165</v>
      </c>
      <c r="D5" s="351" t="s">
        <v>166</v>
      </c>
      <c r="E5" s="351" t="s">
        <v>167</v>
      </c>
    </row>
    <row r="6" spans="1:8" ht="13.5" customHeight="1">
      <c r="A6" s="692" t="s">
        <v>12</v>
      </c>
      <c r="B6" s="693"/>
      <c r="C6" s="689"/>
      <c r="D6" s="689"/>
      <c r="E6" s="617"/>
    </row>
    <row r="7" spans="1:8" ht="16.5">
      <c r="A7" s="692" t="s">
        <v>11</v>
      </c>
      <c r="B7" s="693"/>
      <c r="C7" s="689"/>
      <c r="D7" s="689"/>
      <c r="E7" s="617"/>
    </row>
    <row r="8" spans="1:8" ht="16.5">
      <c r="A8" s="692" t="s">
        <v>10</v>
      </c>
      <c r="B8" s="693"/>
      <c r="C8" s="689"/>
      <c r="D8" s="689"/>
      <c r="E8" s="617"/>
    </row>
    <row r="9" spans="1:8" ht="16.5">
      <c r="A9" s="692" t="s">
        <v>9</v>
      </c>
      <c r="B9" s="693"/>
      <c r="C9" s="689"/>
      <c r="D9" s="689"/>
      <c r="E9" s="617"/>
    </row>
    <row r="10" spans="1:8" ht="16.5">
      <c r="A10" s="692" t="s">
        <v>8</v>
      </c>
      <c r="B10" s="693"/>
      <c r="C10" s="689"/>
      <c r="D10" s="689"/>
      <c r="E10" s="617"/>
    </row>
    <row r="11" spans="1:8" ht="16.5">
      <c r="A11" s="692" t="s">
        <v>502</v>
      </c>
      <c r="B11" s="693"/>
      <c r="C11" s="689"/>
      <c r="D11" s="689"/>
      <c r="E11" s="617"/>
    </row>
    <row r="12" spans="1:8" ht="16.5">
      <c r="A12" s="692" t="s">
        <v>503</v>
      </c>
      <c r="B12" s="693"/>
      <c r="C12" s="689"/>
      <c r="D12" s="689"/>
      <c r="E12" s="617"/>
    </row>
    <row r="13" spans="1:8" ht="16.5">
      <c r="A13" s="694"/>
      <c r="B13" s="695"/>
      <c r="C13" s="614"/>
      <c r="D13" s="615"/>
      <c r="E13" s="616"/>
    </row>
    <row r="14" spans="1:8" ht="16.5">
      <c r="A14" s="692" t="s">
        <v>33</v>
      </c>
      <c r="B14" s="693"/>
      <c r="C14" s="690"/>
      <c r="D14" s="689"/>
      <c r="E14" s="617"/>
    </row>
    <row r="15" spans="1:8" ht="16.5">
      <c r="A15" s="692" t="s">
        <v>32</v>
      </c>
      <c r="B15" s="693"/>
      <c r="C15" s="690"/>
      <c r="D15" s="689"/>
      <c r="E15" s="617"/>
      <c r="H15" s="2"/>
    </row>
    <row r="16" spans="1:8" ht="16.5">
      <c r="A16" s="692" t="s">
        <v>31</v>
      </c>
      <c r="B16" s="693"/>
      <c r="C16" s="690"/>
      <c r="D16" s="691"/>
      <c r="E16" s="617"/>
    </row>
    <row r="17" spans="1:8" ht="16.5">
      <c r="A17" s="692" t="s">
        <v>30</v>
      </c>
      <c r="B17" s="693"/>
      <c r="C17" s="690"/>
      <c r="D17" s="689"/>
      <c r="E17" s="617"/>
    </row>
    <row r="18" spans="1:8" ht="16.5">
      <c r="A18" s="692" t="s">
        <v>29</v>
      </c>
      <c r="B18" s="693"/>
      <c r="C18" s="690"/>
      <c r="D18" s="689"/>
      <c r="E18" s="617"/>
    </row>
    <row r="19" spans="1:8" ht="16.5">
      <c r="A19" s="692" t="s">
        <v>28</v>
      </c>
      <c r="B19" s="693"/>
      <c r="C19" s="690"/>
      <c r="D19" s="689"/>
      <c r="E19" s="617"/>
    </row>
    <row r="20" spans="1:8" ht="16.5">
      <c r="A20" s="694"/>
      <c r="B20" s="695"/>
      <c r="C20" s="614"/>
      <c r="D20" s="615"/>
      <c r="E20" s="616"/>
    </row>
    <row r="21" spans="1:8" ht="19.5" customHeight="1">
      <c r="A21" s="696" t="s">
        <v>40</v>
      </c>
      <c r="B21" s="697"/>
      <c r="C21" s="690"/>
      <c r="D21" s="689"/>
      <c r="E21" s="617"/>
    </row>
    <row r="22" spans="1:8" ht="16.5">
      <c r="A22" s="696" t="s">
        <v>39</v>
      </c>
      <c r="B22" s="697"/>
      <c r="C22" s="690"/>
      <c r="D22" s="691"/>
      <c r="E22" s="617"/>
    </row>
    <row r="23" spans="1:8" ht="16.5">
      <c r="A23" s="696" t="s">
        <v>38</v>
      </c>
      <c r="B23" s="697"/>
      <c r="C23" s="690"/>
      <c r="D23" s="689"/>
      <c r="E23" s="618"/>
    </row>
    <row r="24" spans="1:8" ht="16.5">
      <c r="A24" s="696" t="s">
        <v>37</v>
      </c>
      <c r="B24" s="697"/>
      <c r="C24" s="690"/>
      <c r="D24" s="689"/>
      <c r="E24" s="617"/>
    </row>
    <row r="25" spans="1:8" ht="16.5">
      <c r="A25" s="696" t="s">
        <v>36</v>
      </c>
      <c r="B25" s="697"/>
      <c r="C25" s="690"/>
      <c r="D25" s="689"/>
      <c r="E25" s="617"/>
      <c r="H25" s="55"/>
    </row>
    <row r="26" spans="1:8" ht="16.5">
      <c r="A26" s="696" t="s">
        <v>35</v>
      </c>
      <c r="B26" s="697"/>
      <c r="C26" s="690"/>
      <c r="D26" s="689"/>
      <c r="E26" s="617"/>
    </row>
    <row r="27" spans="1:8" ht="16.5">
      <c r="A27" s="694"/>
      <c r="B27" s="695"/>
      <c r="C27" s="614"/>
      <c r="D27" s="615"/>
      <c r="E27" s="616"/>
    </row>
    <row r="28" spans="1:8" ht="16.5">
      <c r="A28" s="696" t="s">
        <v>45</v>
      </c>
      <c r="B28" s="698"/>
      <c r="C28" s="690"/>
      <c r="D28" s="689"/>
      <c r="E28" s="617"/>
    </row>
    <row r="29" spans="1:8" ht="16.5">
      <c r="A29" s="696" t="s">
        <v>46</v>
      </c>
      <c r="B29" s="698"/>
      <c r="C29" s="690"/>
      <c r="D29" s="689"/>
      <c r="E29" s="617"/>
      <c r="F29" s="246"/>
    </row>
    <row r="30" spans="1:8" ht="16.5">
      <c r="A30" s="696" t="s">
        <v>47</v>
      </c>
      <c r="B30" s="698"/>
      <c r="C30" s="690"/>
      <c r="D30" s="689"/>
      <c r="E30" s="617"/>
    </row>
    <row r="31" spans="1:8" ht="16.5">
      <c r="A31" s="696" t="s">
        <v>48</v>
      </c>
      <c r="B31" s="698"/>
      <c r="C31" s="690"/>
      <c r="D31" s="689"/>
      <c r="E31" s="617"/>
    </row>
    <row r="32" spans="1:8" ht="16.5">
      <c r="A32" s="696" t="s">
        <v>49</v>
      </c>
      <c r="B32" s="698"/>
      <c r="C32" s="690"/>
      <c r="D32" s="689"/>
      <c r="E32" s="617"/>
    </row>
    <row r="33" spans="1:5" ht="16.5">
      <c r="A33" s="699"/>
      <c r="B33" s="700"/>
      <c r="C33" s="614"/>
      <c r="D33" s="615"/>
      <c r="E33" s="616"/>
    </row>
    <row r="34" spans="1:5" ht="16.5">
      <c r="A34" s="696" t="s">
        <v>51</v>
      </c>
      <c r="B34" s="698"/>
      <c r="C34" s="690"/>
      <c r="D34" s="689"/>
      <c r="E34" s="617"/>
    </row>
    <row r="35" spans="1:5" ht="16.5">
      <c r="A35" s="696" t="s">
        <v>52</v>
      </c>
      <c r="B35" s="698"/>
      <c r="C35" s="690"/>
      <c r="D35" s="691"/>
      <c r="E35" s="617"/>
    </row>
    <row r="36" spans="1:5" ht="16.5">
      <c r="A36" s="696" t="s">
        <v>53</v>
      </c>
      <c r="B36" s="698"/>
      <c r="C36" s="690"/>
      <c r="D36" s="689"/>
      <c r="E36" s="617"/>
    </row>
    <row r="37" spans="1:5" ht="16.5">
      <c r="A37" s="696" t="s">
        <v>54</v>
      </c>
      <c r="B37" s="698"/>
      <c r="C37" s="690"/>
      <c r="D37" s="689"/>
      <c r="E37" s="617"/>
    </row>
  </sheetData>
  <mergeCells count="1">
    <mergeCell ref="C4:E4"/>
  </mergeCells>
  <phoneticPr fontId="0" type="noConversion"/>
  <pageMargins left="0.39370078740157483" right="0.75" top="0.35433070866141736" bottom="0.35433070866141736" header="0.31496062992125984" footer="0.31496062992125984"/>
  <pageSetup paperSize="9" orientation="portrait" r:id="rId1"/>
  <headerFooter>
    <oddFooter>&amp;R15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33"/>
  <sheetViews>
    <sheetView showGridLines="0" zoomScale="81" zoomScaleNormal="81" workbookViewId="0">
      <selection activeCell="J8" sqref="J8"/>
    </sheetView>
  </sheetViews>
  <sheetFormatPr defaultRowHeight="12.75"/>
  <cols>
    <col min="1" max="1" width="9" customWidth="1"/>
    <col min="2" max="2" width="7.42578125" customWidth="1"/>
    <col min="3" max="3" width="7" customWidth="1"/>
    <col min="4" max="5" width="6.85546875" customWidth="1"/>
    <col min="6" max="6" width="6.7109375" customWidth="1"/>
    <col min="7" max="7" width="6.5703125" customWidth="1"/>
    <col min="8" max="8" width="7" customWidth="1"/>
    <col min="9" max="9" width="8.85546875" customWidth="1"/>
    <col min="10" max="10" width="6.140625" customWidth="1"/>
    <col min="11" max="12" width="6.85546875" customWidth="1"/>
    <col min="13" max="13" width="6.140625" customWidth="1"/>
    <col min="14" max="14" width="6.85546875" customWidth="1"/>
    <col min="15" max="15" width="7.28515625" customWidth="1"/>
    <col min="16" max="16" width="6.5703125" customWidth="1"/>
  </cols>
  <sheetData>
    <row r="1" spans="1:18" ht="15">
      <c r="A1" s="206"/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</row>
    <row r="2" spans="1:18" ht="15.75" thickBot="1">
      <c r="A2" s="206"/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</row>
    <row r="3" spans="1:18" ht="18.75" thickBot="1">
      <c r="D3" s="1413" t="s">
        <v>333</v>
      </c>
      <c r="E3" s="1412"/>
      <c r="F3" s="1412"/>
      <c r="G3" s="1412"/>
      <c r="H3" s="1412"/>
      <c r="I3" s="1412"/>
      <c r="J3" s="1412"/>
      <c r="K3" s="1412"/>
      <c r="L3" s="1412"/>
      <c r="M3" s="1412"/>
      <c r="N3" s="1412"/>
    </row>
    <row r="4" spans="1:18" ht="15.75" thickBot="1">
      <c r="A4" s="8"/>
      <c r="B4" s="8"/>
      <c r="C4" s="121"/>
      <c r="D4" s="110"/>
      <c r="E4" s="110" t="s">
        <v>77</v>
      </c>
      <c r="F4" s="110" t="s">
        <v>24</v>
      </c>
      <c r="G4" s="110" t="s">
        <v>82</v>
      </c>
      <c r="H4" s="110" t="s">
        <v>14</v>
      </c>
      <c r="I4" s="110" t="s">
        <v>79</v>
      </c>
      <c r="J4" s="110" t="s">
        <v>81</v>
      </c>
      <c r="K4" s="110" t="s">
        <v>80</v>
      </c>
      <c r="L4" s="110" t="s">
        <v>74</v>
      </c>
      <c r="M4" s="110" t="s">
        <v>21</v>
      </c>
      <c r="N4" s="110" t="s">
        <v>20</v>
      </c>
      <c r="P4" s="8"/>
      <c r="Q4" s="47"/>
      <c r="R4" s="47"/>
    </row>
    <row r="5" spans="1:18" ht="16.5" thickBot="1">
      <c r="A5" s="11"/>
      <c r="B5" s="11"/>
      <c r="C5" s="197"/>
      <c r="D5" s="111" t="s">
        <v>71</v>
      </c>
      <c r="E5" s="122">
        <f>1-0.227</f>
        <v>0.77300000000000002</v>
      </c>
      <c r="F5" s="122">
        <f>1-0.237</f>
        <v>0.76300000000000001</v>
      </c>
      <c r="G5" s="122">
        <f>1-0.241</f>
        <v>0.75900000000000001</v>
      </c>
      <c r="H5" s="122">
        <f>1-0.288</f>
        <v>0.71199999999999997</v>
      </c>
      <c r="I5" s="122">
        <f>1-0.166</f>
        <v>0.83399999999999996</v>
      </c>
      <c r="J5" s="122">
        <f>1-0.102</f>
        <v>0.89800000000000002</v>
      </c>
      <c r="K5" s="122">
        <f>1-0.146</f>
        <v>0.85399999999999998</v>
      </c>
      <c r="L5" s="122">
        <f>1-0.061</f>
        <v>0.93900000000000006</v>
      </c>
      <c r="M5" s="264"/>
      <c r="N5" s="122">
        <f>1-0.054</f>
        <v>0.94599999999999995</v>
      </c>
      <c r="P5" s="8"/>
      <c r="Q5" s="47"/>
      <c r="R5" s="47"/>
    </row>
    <row r="6" spans="1:18" ht="16.5" thickBot="1">
      <c r="A6" s="8"/>
      <c r="B6" s="8"/>
      <c r="C6" s="198"/>
      <c r="D6" s="126" t="s">
        <v>70</v>
      </c>
      <c r="E6" s="122">
        <f>1-0.25</f>
        <v>0.75</v>
      </c>
      <c r="F6" s="122">
        <f>1-0.24</f>
        <v>0.76</v>
      </c>
      <c r="G6" s="122">
        <f>1-0.17</f>
        <v>0.83</v>
      </c>
      <c r="H6" s="122">
        <f>1-0.31</f>
        <v>0.69</v>
      </c>
      <c r="I6" s="122">
        <f>1-0.17</f>
        <v>0.83</v>
      </c>
      <c r="J6" s="122">
        <f>1-0.16</f>
        <v>0.84</v>
      </c>
      <c r="K6" s="122">
        <f>1-0.13</f>
        <v>0.87</v>
      </c>
      <c r="L6" s="122">
        <f>1-0.09</f>
        <v>0.91</v>
      </c>
      <c r="M6" s="122">
        <f>1-0.18</f>
        <v>0.82000000000000006</v>
      </c>
      <c r="N6" s="122">
        <f>1-0.03</f>
        <v>0.97</v>
      </c>
      <c r="P6" s="8"/>
      <c r="Q6" s="10"/>
      <c r="R6" s="8"/>
    </row>
    <row r="7" spans="1:18" ht="16.5" thickBot="1">
      <c r="A7" s="11"/>
      <c r="B7" s="11"/>
      <c r="C7" s="198"/>
      <c r="D7" s="126" t="s">
        <v>145</v>
      </c>
      <c r="E7" s="701">
        <v>0.7</v>
      </c>
      <c r="F7" s="701">
        <v>0.7</v>
      </c>
      <c r="G7" s="701">
        <v>0.73</v>
      </c>
      <c r="H7" s="701">
        <v>0.66</v>
      </c>
      <c r="I7" s="701">
        <v>0.87</v>
      </c>
      <c r="J7" s="701">
        <v>0.77</v>
      </c>
      <c r="K7" s="701">
        <v>0.8</v>
      </c>
      <c r="L7" s="701">
        <v>0.92</v>
      </c>
      <c r="M7" s="701">
        <v>0.84</v>
      </c>
      <c r="N7" s="762">
        <v>4.0000000000000001E-3</v>
      </c>
      <c r="P7" s="12"/>
      <c r="Q7" s="12"/>
      <c r="R7" s="12"/>
    </row>
    <row r="8" spans="1:18" ht="16.5" thickBot="1">
      <c r="A8" s="11"/>
      <c r="B8" s="11"/>
      <c r="C8" s="199"/>
      <c r="D8" s="126" t="s">
        <v>506</v>
      </c>
      <c r="E8" s="702">
        <f>'XIII-SUCESSO-Ano-Disciplina'!C20</f>
        <v>0.79012345679012341</v>
      </c>
      <c r="F8" s="702">
        <f>'XIII-SUCESSO-Ano-Disciplina'!E20</f>
        <v>0.88976377952755903</v>
      </c>
      <c r="G8" s="702">
        <f>'XIII-SUCESSO-Ano-Disciplina'!F20</f>
        <v>0.88976377952755903</v>
      </c>
      <c r="H8" s="702">
        <f>'XIII-SUCESSO-Ano-Disciplina'!G20</f>
        <v>0.75390625</v>
      </c>
      <c r="I8" s="702">
        <f>'XIII-SUCESSO-Ano-Disciplina'!H20</f>
        <v>0.89763779527559051</v>
      </c>
      <c r="J8" s="702">
        <f>'XIII-SUCESSO-Ano-Disciplina'!I20</f>
        <v>0.92519685039370081</v>
      </c>
      <c r="K8" s="702">
        <f>'XIII-SUCESSO-Ano-Disciplina'!J20</f>
        <v>0.90944881889763785</v>
      </c>
      <c r="L8" s="702">
        <f>'XIII-SUCESSO-Ano-Disciplina'!K20</f>
        <v>0.90944881889763785</v>
      </c>
      <c r="M8" s="702"/>
      <c r="N8" s="702"/>
      <c r="P8" s="12"/>
      <c r="Q8" s="12"/>
      <c r="R8" s="12"/>
    </row>
    <row r="9" spans="1:18" ht="14.25">
      <c r="A9" s="11"/>
      <c r="B9" s="11"/>
      <c r="C9" s="11"/>
      <c r="D9" s="11"/>
      <c r="E9" s="11"/>
      <c r="F9" s="11"/>
      <c r="G9" s="11"/>
      <c r="H9" s="11"/>
      <c r="I9" s="11"/>
      <c r="J9" s="12"/>
      <c r="K9" s="12"/>
      <c r="L9" s="12"/>
      <c r="M9" s="12"/>
      <c r="N9" s="12"/>
      <c r="O9" s="12"/>
      <c r="P9" s="12"/>
      <c r="Q9" s="12"/>
      <c r="R9" s="13"/>
    </row>
    <row r="10" spans="1:18" ht="19.5" customHeight="1" thickBot="1">
      <c r="A10" s="11"/>
      <c r="B10" s="11"/>
      <c r="C10" s="11"/>
      <c r="D10" s="11"/>
      <c r="E10" s="11"/>
      <c r="F10" s="11"/>
      <c r="G10" s="11"/>
      <c r="H10" s="11"/>
      <c r="I10" s="11"/>
      <c r="J10" s="12"/>
      <c r="K10" s="12"/>
      <c r="L10" s="12"/>
      <c r="M10" s="12"/>
      <c r="N10" s="12"/>
      <c r="O10" s="12"/>
      <c r="P10" s="12"/>
      <c r="Q10" s="12"/>
      <c r="R10" s="13"/>
    </row>
    <row r="11" spans="1:18" ht="18.75" thickBot="1">
      <c r="A11" s="12"/>
      <c r="B11" s="1413" t="s">
        <v>331</v>
      </c>
      <c r="C11" s="1412"/>
      <c r="D11" s="1412"/>
      <c r="E11" s="1412"/>
      <c r="F11" s="1412"/>
      <c r="G11" s="1412"/>
      <c r="H11" s="1412"/>
      <c r="I11" s="1412"/>
      <c r="J11" s="1412"/>
      <c r="K11" s="1412"/>
      <c r="L11" s="1412"/>
      <c r="M11" s="1412"/>
      <c r="N11" s="1412"/>
      <c r="O11" s="1412"/>
      <c r="P11" s="1412"/>
      <c r="Q11" s="14"/>
      <c r="R11" s="14"/>
    </row>
    <row r="12" spans="1:18" ht="16.5" thickBot="1">
      <c r="A12" s="121"/>
      <c r="B12" s="110" t="s">
        <v>77</v>
      </c>
      <c r="C12" s="110" t="s">
        <v>76</v>
      </c>
      <c r="D12" s="110" t="s">
        <v>255</v>
      </c>
      <c r="E12" s="110" t="s">
        <v>256</v>
      </c>
      <c r="F12" s="110" t="s">
        <v>43</v>
      </c>
      <c r="G12" s="110" t="s">
        <v>42</v>
      </c>
      <c r="H12" s="110" t="s">
        <v>14</v>
      </c>
      <c r="I12" s="110" t="s">
        <v>79</v>
      </c>
      <c r="J12" s="110" t="s">
        <v>41</v>
      </c>
      <c r="K12" s="110" t="s">
        <v>78</v>
      </c>
      <c r="L12" s="202" t="s">
        <v>190</v>
      </c>
      <c r="M12" s="110" t="s">
        <v>74</v>
      </c>
      <c r="N12" s="110" t="s">
        <v>55</v>
      </c>
      <c r="O12" s="110" t="s">
        <v>21</v>
      </c>
      <c r="P12" s="110" t="s">
        <v>20</v>
      </c>
    </row>
    <row r="13" spans="1:18" ht="16.5" thickBot="1">
      <c r="A13" s="111" t="s">
        <v>71</v>
      </c>
      <c r="B13" s="122">
        <f>1-0.216</f>
        <v>0.78400000000000003</v>
      </c>
      <c r="C13" s="122">
        <f>1-0.341</f>
        <v>0.65900000000000003</v>
      </c>
      <c r="D13" s="207">
        <f>1-0.282</f>
        <v>0.71799999999999997</v>
      </c>
      <c r="E13" s="207">
        <f>1-0.312</f>
        <v>0.68799999999999994</v>
      </c>
      <c r="F13" s="122">
        <f>1-0.247</f>
        <v>0.753</v>
      </c>
      <c r="G13" s="122">
        <f>1-0.261</f>
        <v>0.73899999999999999</v>
      </c>
      <c r="H13" s="122">
        <f>1-0.372</f>
        <v>0.628</v>
      </c>
      <c r="I13" s="122">
        <f>1-0.151</f>
        <v>0.84899999999999998</v>
      </c>
      <c r="J13" s="122">
        <f>1-0.264</f>
        <v>0.73599999999999999</v>
      </c>
      <c r="K13" s="122">
        <f>1-0.115</f>
        <v>0.88500000000000001</v>
      </c>
      <c r="L13" s="207">
        <f>1-0.067</f>
        <v>0.93300000000000005</v>
      </c>
      <c r="M13" s="122">
        <f>1-0.099</f>
        <v>0.90100000000000002</v>
      </c>
      <c r="N13" s="122">
        <f>1-0.027</f>
        <v>0.97299999999999998</v>
      </c>
      <c r="O13" s="264"/>
      <c r="P13" s="122">
        <f>1-0.029</f>
        <v>0.97099999999999997</v>
      </c>
    </row>
    <row r="14" spans="1:18" ht="16.5" thickBot="1">
      <c r="A14" s="126" t="s">
        <v>70</v>
      </c>
      <c r="B14" s="122">
        <f>1-0.28</f>
        <v>0.72</v>
      </c>
      <c r="C14" s="122">
        <f>1-0.3</f>
        <v>0.7</v>
      </c>
      <c r="D14" s="207">
        <f>1-0.26</f>
        <v>0.74</v>
      </c>
      <c r="E14" s="207">
        <f>1-0.18</f>
        <v>0.82000000000000006</v>
      </c>
      <c r="F14" s="122">
        <f>1-0.3</f>
        <v>0.7</v>
      </c>
      <c r="G14" s="122">
        <f>1-0.35</f>
        <v>0.65</v>
      </c>
      <c r="H14" s="122">
        <f>1-0.49</f>
        <v>0.51</v>
      </c>
      <c r="I14" s="122">
        <f>1-0.19</f>
        <v>0.81</v>
      </c>
      <c r="J14" s="122">
        <f>1-0.37</f>
        <v>0.63</v>
      </c>
      <c r="K14" s="122">
        <f>1-0.21</f>
        <v>0.79</v>
      </c>
      <c r="L14" s="207">
        <f>1-0.019</f>
        <v>0.98099999999999998</v>
      </c>
      <c r="M14" s="122">
        <f>1-0.09</f>
        <v>0.91</v>
      </c>
      <c r="N14" s="122">
        <f>1-0.08</f>
        <v>0.92</v>
      </c>
      <c r="O14" s="122">
        <f>1-0.12</f>
        <v>0.88</v>
      </c>
      <c r="P14" s="122">
        <f>1-0.06</f>
        <v>0.94</v>
      </c>
    </row>
    <row r="15" spans="1:18" ht="16.5" thickBot="1">
      <c r="A15" s="126" t="s">
        <v>145</v>
      </c>
      <c r="B15" s="200">
        <v>0.6</v>
      </c>
      <c r="C15" s="200">
        <v>0.59</v>
      </c>
      <c r="D15" s="200">
        <v>0.79</v>
      </c>
      <c r="E15" s="200">
        <v>0.92</v>
      </c>
      <c r="F15" s="200">
        <v>0.57999999999999996</v>
      </c>
      <c r="G15" s="200">
        <v>0.61</v>
      </c>
      <c r="H15" s="200">
        <v>0.57999999999999996</v>
      </c>
      <c r="I15" s="200">
        <v>0.75</v>
      </c>
      <c r="J15" s="200">
        <v>0.55000000000000004</v>
      </c>
      <c r="K15" s="200">
        <v>0.68</v>
      </c>
      <c r="L15" s="200">
        <v>0.95</v>
      </c>
      <c r="M15" s="200">
        <v>0.95</v>
      </c>
      <c r="N15" s="200">
        <v>0.91</v>
      </c>
      <c r="O15" s="200">
        <v>0.81</v>
      </c>
      <c r="P15" s="200">
        <v>0.94</v>
      </c>
    </row>
    <row r="16" spans="1:18" ht="15.75" thickBot="1">
      <c r="A16" s="126" t="s">
        <v>506</v>
      </c>
      <c r="B16" s="703"/>
      <c r="C16" s="703"/>
      <c r="D16" s="703"/>
      <c r="E16" s="703"/>
      <c r="F16" s="703"/>
      <c r="G16" s="703"/>
      <c r="H16" s="703"/>
      <c r="I16" s="703"/>
      <c r="J16" s="704"/>
      <c r="K16" s="704"/>
      <c r="L16" s="704"/>
      <c r="M16" s="704"/>
      <c r="N16" s="704"/>
      <c r="O16" s="704"/>
      <c r="P16" s="704"/>
      <c r="Q16" s="12"/>
      <c r="R16" s="13"/>
    </row>
    <row r="17" spans="1:18" ht="15">
      <c r="A17" s="156"/>
      <c r="B17" s="11"/>
      <c r="C17" s="11"/>
      <c r="D17" s="11"/>
      <c r="E17" s="11"/>
      <c r="F17" s="11"/>
      <c r="G17" s="11"/>
      <c r="H17" s="11"/>
      <c r="I17" s="11"/>
      <c r="J17" s="12"/>
      <c r="K17" s="12"/>
      <c r="L17" s="12"/>
      <c r="M17" s="12"/>
      <c r="N17" s="12"/>
      <c r="O17" s="12"/>
      <c r="P17" s="12"/>
      <c r="Q17" s="12"/>
      <c r="R17" s="13"/>
    </row>
    <row r="18" spans="1:18" ht="15" thickBot="1">
      <c r="A18" s="11"/>
      <c r="B18" s="11"/>
      <c r="C18" s="11"/>
      <c r="D18" s="11"/>
      <c r="E18" s="11"/>
      <c r="F18" s="11"/>
      <c r="G18" s="11"/>
      <c r="H18" s="11"/>
      <c r="I18" s="11"/>
      <c r="J18" s="12"/>
      <c r="K18" s="12"/>
      <c r="L18" s="12"/>
      <c r="M18" s="12"/>
      <c r="N18" s="12"/>
      <c r="O18" s="12"/>
      <c r="P18" s="12"/>
      <c r="Q18" s="12"/>
      <c r="R18" s="13"/>
    </row>
    <row r="19" spans="1:18" ht="18.75" thickBot="1">
      <c r="E19" s="1412" t="s">
        <v>332</v>
      </c>
      <c r="F19" s="1412"/>
      <c r="G19" s="1412"/>
      <c r="H19" s="1412"/>
      <c r="I19" s="1412"/>
      <c r="J19" s="1412"/>
      <c r="K19" s="1412"/>
      <c r="L19" s="1412"/>
    </row>
    <row r="20" spans="1:18" ht="15.75" thickBot="1">
      <c r="D20" s="8"/>
      <c r="E20" s="110" t="s">
        <v>77</v>
      </c>
      <c r="F20" s="110" t="s">
        <v>76</v>
      </c>
      <c r="G20" s="110" t="s">
        <v>55</v>
      </c>
      <c r="H20" s="110" t="s">
        <v>56</v>
      </c>
      <c r="I20" s="110" t="s">
        <v>75</v>
      </c>
      <c r="J20" s="110" t="s">
        <v>74</v>
      </c>
      <c r="K20" s="110" t="s">
        <v>58</v>
      </c>
      <c r="L20" s="110" t="s">
        <v>73</v>
      </c>
    </row>
    <row r="21" spans="1:18" ht="16.5" thickBot="1">
      <c r="D21" s="111" t="s">
        <v>71</v>
      </c>
      <c r="E21" s="122">
        <f>1-0.29</f>
        <v>0.71</v>
      </c>
      <c r="F21" s="122">
        <f>1-0.29</f>
        <v>0.71</v>
      </c>
      <c r="G21" s="122">
        <f>1-0.14</f>
        <v>0.86</v>
      </c>
      <c r="H21" s="122">
        <f>1-0.25</f>
        <v>0.75</v>
      </c>
      <c r="I21" s="122">
        <f>1-0.19</f>
        <v>0.81</v>
      </c>
      <c r="J21" s="122">
        <f>1-0.19</f>
        <v>0.81</v>
      </c>
      <c r="K21" s="122">
        <f>1-0.29</f>
        <v>0.71</v>
      </c>
      <c r="L21" s="122">
        <f>1-0.26</f>
        <v>0.74</v>
      </c>
    </row>
    <row r="22" spans="1:18" ht="16.5" thickBot="1">
      <c r="D22" s="126" t="s">
        <v>70</v>
      </c>
      <c r="E22" s="122">
        <f>1-0.4</f>
        <v>0.6</v>
      </c>
      <c r="F22" s="122">
        <f>1-0.38</f>
        <v>0.62</v>
      </c>
      <c r="G22" s="122">
        <f>1-0.19</f>
        <v>0.81</v>
      </c>
      <c r="H22" s="122">
        <f>1-0.21</f>
        <v>0.79</v>
      </c>
      <c r="I22" s="122">
        <f>1-0.71</f>
        <v>0.29000000000000004</v>
      </c>
      <c r="J22" s="122">
        <f>1-0.23</f>
        <v>0.77</v>
      </c>
      <c r="K22" s="122">
        <f>1-0.4</f>
        <v>0.6</v>
      </c>
      <c r="L22" s="122">
        <f>1-0.56</f>
        <v>0.43999999999999995</v>
      </c>
    </row>
    <row r="23" spans="1:18" ht="16.5" thickBot="1">
      <c r="A23" s="8"/>
      <c r="B23" s="8"/>
      <c r="C23" s="8"/>
      <c r="D23" s="126" t="s">
        <v>145</v>
      </c>
      <c r="E23" s="200">
        <v>0.78</v>
      </c>
      <c r="F23" s="200">
        <v>0.82</v>
      </c>
      <c r="G23" s="200">
        <v>0.82</v>
      </c>
      <c r="H23" s="200">
        <v>0.95</v>
      </c>
      <c r="I23" s="200">
        <v>0.96</v>
      </c>
      <c r="J23" s="200">
        <v>0.9</v>
      </c>
      <c r="K23" s="200">
        <v>0.67</v>
      </c>
      <c r="L23" s="200">
        <v>0.9</v>
      </c>
    </row>
    <row r="24" spans="1:18" ht="15.75" thickBot="1">
      <c r="C24" s="197"/>
      <c r="D24" s="126" t="s">
        <v>506</v>
      </c>
      <c r="E24" s="601"/>
      <c r="F24" s="601"/>
      <c r="G24" s="601"/>
      <c r="H24" s="601"/>
      <c r="I24" s="601"/>
      <c r="J24" s="601"/>
      <c r="K24" s="601"/>
      <c r="L24" s="601"/>
    </row>
    <row r="25" spans="1:18" ht="15">
      <c r="C25" s="198"/>
    </row>
    <row r="26" spans="1:18" ht="18" customHeight="1">
      <c r="M26" s="17"/>
    </row>
    <row r="27" spans="1:18" ht="15" customHeight="1" thickBot="1">
      <c r="A27" s="46"/>
      <c r="D27" s="477"/>
      <c r="E27" s="477"/>
      <c r="F27" s="1422" t="s">
        <v>72</v>
      </c>
      <c r="G27" s="1422"/>
      <c r="H27" s="1422"/>
      <c r="I27" s="1422"/>
      <c r="J27" s="1422"/>
      <c r="M27" s="17"/>
    </row>
    <row r="28" spans="1:18" ht="15.75" thickBot="1">
      <c r="A28" s="46"/>
      <c r="D28" s="1418"/>
      <c r="E28" s="1419"/>
      <c r="F28" s="110" t="s">
        <v>1</v>
      </c>
      <c r="G28" s="110" t="s">
        <v>2</v>
      </c>
      <c r="H28" s="110" t="s">
        <v>3</v>
      </c>
      <c r="I28" s="110" t="s">
        <v>4</v>
      </c>
      <c r="J28" s="110" t="s">
        <v>5</v>
      </c>
      <c r="M28" s="17"/>
    </row>
    <row r="29" spans="1:18" ht="15.75" customHeight="1" thickBot="1">
      <c r="D29" s="1420" t="s">
        <v>71</v>
      </c>
      <c r="E29" s="1421"/>
      <c r="F29" s="122">
        <v>0.25</v>
      </c>
      <c r="G29" s="122">
        <v>0.33</v>
      </c>
      <c r="H29" s="122">
        <v>0.41</v>
      </c>
      <c r="I29" s="122">
        <v>0.51</v>
      </c>
      <c r="J29" s="122">
        <v>0.61</v>
      </c>
      <c r="M29" s="17"/>
    </row>
    <row r="30" spans="1:18" ht="15.75" customHeight="1" thickBot="1">
      <c r="D30" s="1416" t="s">
        <v>70</v>
      </c>
      <c r="E30" s="1417"/>
      <c r="F30" s="122">
        <v>0.27</v>
      </c>
      <c r="G30" s="122">
        <v>0.32</v>
      </c>
      <c r="H30" s="122">
        <v>0.49</v>
      </c>
      <c r="I30" s="122">
        <v>0.47</v>
      </c>
      <c r="J30" s="122">
        <v>0.57999999999999996</v>
      </c>
      <c r="M30" s="17"/>
    </row>
    <row r="31" spans="1:18" ht="15" customHeight="1" thickBot="1">
      <c r="D31" s="1416" t="s">
        <v>145</v>
      </c>
      <c r="E31" s="1417"/>
      <c r="F31" s="201">
        <v>0.13</v>
      </c>
      <c r="G31" s="201">
        <v>0.28999999999999998</v>
      </c>
      <c r="H31" s="201">
        <v>0.33</v>
      </c>
      <c r="I31" s="201">
        <v>0.33</v>
      </c>
      <c r="J31" s="201">
        <v>0.38</v>
      </c>
      <c r="M31" s="17"/>
    </row>
    <row r="32" spans="1:18" ht="15.75" thickBot="1">
      <c r="D32" s="1414" t="s">
        <v>506</v>
      </c>
      <c r="E32" s="1415"/>
      <c r="F32" s="601"/>
      <c r="G32" s="601"/>
      <c r="H32" s="601"/>
      <c r="I32" s="601"/>
      <c r="J32" s="601"/>
      <c r="M32" s="17"/>
    </row>
    <row r="33" spans="13:13">
      <c r="M33" s="17"/>
    </row>
  </sheetData>
  <mergeCells count="9">
    <mergeCell ref="E19:L19"/>
    <mergeCell ref="D3:N3"/>
    <mergeCell ref="D32:E32"/>
    <mergeCell ref="D31:E31"/>
    <mergeCell ref="D28:E28"/>
    <mergeCell ref="B11:P11"/>
    <mergeCell ref="D29:E29"/>
    <mergeCell ref="F27:J27"/>
    <mergeCell ref="D30:E30"/>
  </mergeCells>
  <phoneticPr fontId="0" type="noConversion"/>
  <printOptions horizontalCentered="1"/>
  <pageMargins left="0.31496062992125984" right="0.11811023622047245" top="0.39370078740157483" bottom="0" header="0" footer="0"/>
  <pageSetup paperSize="9" scale="72" orientation="landscape" useFirstPageNumber="1" r:id="rId1"/>
  <headerFooter>
    <oddHeader>&amp;L&amp;"Trebuchet MS,Negrito"&amp;12&amp;K01+017AGRUPAMENTO DE ESCOLAS MIGUEL TORGA&amp;C
&amp;R&amp;"Trebuchet MS,Negrito itálico"&amp;12AUTOAVALIAÇÃO
1ºPeríodo  2012/13
Tabela XVIII</oddHeader>
    <oddFooter>&amp;C
&amp;R18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47"/>
  <sheetViews>
    <sheetView showGridLines="0" topLeftCell="A25" workbookViewId="0">
      <selection activeCell="A25" sqref="A25:E28"/>
    </sheetView>
  </sheetViews>
  <sheetFormatPr defaultRowHeight="12.75"/>
  <cols>
    <col min="1" max="1" width="10.85546875" customWidth="1"/>
    <col min="2" max="2" width="18.28515625" customWidth="1"/>
    <col min="3" max="6" width="15.7109375" customWidth="1"/>
  </cols>
  <sheetData>
    <row r="1" spans="1:13" s="5" customFormat="1" ht="41.25" customHeight="1" thickBot="1">
      <c r="B1" s="116"/>
      <c r="C1" s="671" t="s">
        <v>334</v>
      </c>
      <c r="D1" s="671" t="s">
        <v>147</v>
      </c>
      <c r="E1" s="671" t="s">
        <v>335</v>
      </c>
      <c r="F1" s="671" t="s">
        <v>147</v>
      </c>
      <c r="G1" s="6"/>
      <c r="H1" s="6"/>
      <c r="I1" s="6"/>
      <c r="J1" s="6"/>
    </row>
    <row r="2" spans="1:13" s="5" customFormat="1" ht="15.75" thickBot="1">
      <c r="B2" s="111" t="s">
        <v>133</v>
      </c>
      <c r="C2" s="290" t="e">
        <f>'II-1º ANO'!#REF!</f>
        <v>#REF!</v>
      </c>
      <c r="D2" s="112" t="e">
        <f>C2/(C2+E2)</f>
        <v>#REF!</v>
      </c>
      <c r="E2" s="295" t="e">
        <f>('II-1º ANO'!#REF!-'II-1º ANO'!#REF!)</f>
        <v>#REF!</v>
      </c>
      <c r="F2" s="112" t="e">
        <f>E2/(C2+E2)</f>
        <v>#REF!</v>
      </c>
      <c r="G2" s="6"/>
      <c r="H2" s="6"/>
      <c r="I2" s="6"/>
      <c r="J2" s="6"/>
      <c r="K2" s="6"/>
      <c r="L2" s="6"/>
    </row>
    <row r="3" spans="1:13" s="5" customFormat="1" ht="15.75" thickBot="1">
      <c r="B3" s="111" t="s">
        <v>134</v>
      </c>
      <c r="C3" s="290">
        <f>'III-2º ANO'!M12</f>
        <v>0</v>
      </c>
      <c r="D3" s="112">
        <f t="shared" ref="D3:D11" si="0">C3/(C3+E3)</f>
        <v>0</v>
      </c>
      <c r="E3" s="295">
        <f>('III-2º ANO'!B12-'III-2º ANO'!M12)</f>
        <v>69</v>
      </c>
      <c r="F3" s="112">
        <f t="shared" ref="F3:F11" si="1">E3/(C3+E3)</f>
        <v>1</v>
      </c>
      <c r="G3" s="6"/>
      <c r="H3" s="6"/>
      <c r="I3" s="6"/>
      <c r="J3" s="6"/>
      <c r="K3" s="6"/>
      <c r="L3" s="6"/>
    </row>
    <row r="4" spans="1:13" s="5" customFormat="1" ht="15.75" thickBot="1">
      <c r="B4" s="111" t="s">
        <v>135</v>
      </c>
      <c r="C4" s="290" t="e">
        <f>'IV-3º ANO'!#REF!</f>
        <v>#REF!</v>
      </c>
      <c r="D4" s="112" t="e">
        <f t="shared" si="0"/>
        <v>#REF!</v>
      </c>
      <c r="E4" s="295" t="e">
        <f>('IV-3º ANO'!#REF!-'IV-3º ANO'!#REF!)</f>
        <v>#REF!</v>
      </c>
      <c r="F4" s="112" t="e">
        <f t="shared" si="1"/>
        <v>#REF!</v>
      </c>
      <c r="G4" s="6"/>
      <c r="H4" s="6"/>
      <c r="I4" s="6"/>
      <c r="J4" s="6"/>
      <c r="K4" s="6"/>
      <c r="L4" s="6"/>
    </row>
    <row r="5" spans="1:13" s="5" customFormat="1" ht="15.75" thickBot="1">
      <c r="B5" s="111" t="s">
        <v>136</v>
      </c>
      <c r="C5" s="290" t="e">
        <f>'V-4º ANO'!#REF!</f>
        <v>#REF!</v>
      </c>
      <c r="D5" s="112" t="e">
        <f t="shared" si="0"/>
        <v>#REF!</v>
      </c>
      <c r="E5" s="295" t="e">
        <f>('V-4º ANO'!#REF!-'V-4º ANO'!#REF!)</f>
        <v>#REF!</v>
      </c>
      <c r="F5" s="112" t="e">
        <f t="shared" si="1"/>
        <v>#REF!</v>
      </c>
      <c r="G5" s="6"/>
      <c r="H5" s="6"/>
      <c r="I5" s="6"/>
      <c r="J5" s="6"/>
      <c r="K5" s="6"/>
      <c r="L5" s="6"/>
    </row>
    <row r="6" spans="1:13" s="5" customFormat="1" ht="15.75" thickBot="1">
      <c r="B6" s="299" t="s">
        <v>483</v>
      </c>
      <c r="C6" s="292" t="e">
        <f>SUM(C2:C5)</f>
        <v>#REF!</v>
      </c>
      <c r="D6" s="112" t="e">
        <f t="shared" si="0"/>
        <v>#REF!</v>
      </c>
      <c r="E6" s="297" t="e">
        <f>SUM(E2:E5)</f>
        <v>#REF!</v>
      </c>
      <c r="F6" s="112" t="e">
        <f t="shared" si="1"/>
        <v>#REF!</v>
      </c>
      <c r="G6" s="6"/>
      <c r="H6" s="6"/>
      <c r="I6" s="6"/>
      <c r="J6" s="6"/>
      <c r="K6" s="6"/>
      <c r="L6" s="6"/>
    </row>
    <row r="7" spans="1:13" s="5" customFormat="1" ht="15.75" thickBot="1">
      <c r="B7" s="111" t="s">
        <v>133</v>
      </c>
      <c r="C7" s="290" t="e">
        <f>'II-1º ANO'!#REF!</f>
        <v>#REF!</v>
      </c>
      <c r="D7" s="112" t="e">
        <f t="shared" si="0"/>
        <v>#REF!</v>
      </c>
      <c r="E7" s="295" t="e">
        <f>('II-1º ANO'!#REF!-'II-1º ANO'!#REF!)</f>
        <v>#REF!</v>
      </c>
      <c r="F7" s="112" t="e">
        <f t="shared" si="1"/>
        <v>#REF!</v>
      </c>
      <c r="G7" s="6"/>
      <c r="H7" s="6"/>
      <c r="I7" s="6"/>
      <c r="J7" s="6"/>
      <c r="K7" s="6"/>
      <c r="L7" s="6"/>
    </row>
    <row r="8" spans="1:13" s="5" customFormat="1" ht="15.75" thickBot="1">
      <c r="B8" s="111" t="s">
        <v>134</v>
      </c>
      <c r="C8" s="290" t="e">
        <f>'III-2º ANO'!#REF!</f>
        <v>#REF!</v>
      </c>
      <c r="D8" s="112" t="e">
        <f t="shared" si="0"/>
        <v>#REF!</v>
      </c>
      <c r="E8" s="295" t="e">
        <f>('III-2º ANO'!#REF!-'III-2º ANO'!#REF!)</f>
        <v>#REF!</v>
      </c>
      <c r="F8" s="112" t="e">
        <f t="shared" si="1"/>
        <v>#REF!</v>
      </c>
      <c r="K8" s="6"/>
      <c r="L8" s="6"/>
      <c r="M8" s="6"/>
    </row>
    <row r="9" spans="1:13" s="5" customFormat="1" ht="15.75" thickBot="1">
      <c r="B9" s="111" t="s">
        <v>135</v>
      </c>
      <c r="C9" s="291" t="e">
        <f>'IV-3º ANO'!#REF!</f>
        <v>#REF!</v>
      </c>
      <c r="D9" s="112" t="e">
        <f t="shared" si="0"/>
        <v>#REF!</v>
      </c>
      <c r="E9" s="296" t="e">
        <f>('IV-3º ANO'!#REF!-'IV-3º ANO'!#REF!)</f>
        <v>#REF!</v>
      </c>
      <c r="F9" s="112" t="e">
        <f t="shared" si="1"/>
        <v>#REF!</v>
      </c>
      <c r="K9" s="6"/>
      <c r="L9" s="6"/>
    </row>
    <row r="10" spans="1:13" s="5" customFormat="1" ht="15.75" thickBot="1">
      <c r="A10"/>
      <c r="B10" s="111" t="s">
        <v>136</v>
      </c>
      <c r="C10" s="291" t="e">
        <f>'V-4º ANO'!#REF!</f>
        <v>#REF!</v>
      </c>
      <c r="D10" s="112" t="e">
        <f t="shared" si="0"/>
        <v>#REF!</v>
      </c>
      <c r="E10" s="296" t="e">
        <f>('V-4º ANO'!#REF!-'V-4º ANO'!#REF!)</f>
        <v>#REF!</v>
      </c>
      <c r="F10" s="112" t="e">
        <f t="shared" si="1"/>
        <v>#REF!</v>
      </c>
      <c r="G10"/>
      <c r="H10" s="4"/>
      <c r="I10" s="4"/>
      <c r="J10" s="4"/>
    </row>
    <row r="11" spans="1:13" s="5" customFormat="1" ht="15.75" thickBot="1">
      <c r="A11"/>
      <c r="B11" s="299" t="s">
        <v>484</v>
      </c>
      <c r="C11" s="292" t="e">
        <f>SUM(C7:C10)</f>
        <v>#REF!</v>
      </c>
      <c r="D11" s="112" t="e">
        <f t="shared" si="0"/>
        <v>#REF!</v>
      </c>
      <c r="E11" s="297" t="e">
        <f>SUM(E7:E10)</f>
        <v>#REF!</v>
      </c>
      <c r="F11" s="112" t="e">
        <f t="shared" si="1"/>
        <v>#REF!</v>
      </c>
      <c r="G11"/>
      <c r="H11" s="4"/>
      <c r="I11" s="4"/>
      <c r="J11" s="4"/>
    </row>
    <row r="12" spans="1:13" s="5" customFormat="1" ht="15.75" thickBot="1">
      <c r="A12"/>
      <c r="B12" s="111" t="s">
        <v>152</v>
      </c>
      <c r="C12" s="627" t="e">
        <f>SUM(C6,C11)</f>
        <v>#REF!</v>
      </c>
      <c r="D12" s="628" t="e">
        <f>C12/(C12+E12)</f>
        <v>#REF!</v>
      </c>
      <c r="E12" s="629" t="e">
        <f>SUM(E6,E11)</f>
        <v>#REF!</v>
      </c>
      <c r="F12" s="628" t="e">
        <f>E12/(C12+E12)</f>
        <v>#REF!</v>
      </c>
      <c r="G12"/>
      <c r="H12" s="4"/>
      <c r="I12" s="4"/>
      <c r="J12" s="4"/>
    </row>
    <row r="13" spans="1:13" s="5" customFormat="1" ht="15.75" thickBot="1">
      <c r="A13"/>
      <c r="B13" s="111" t="s">
        <v>1</v>
      </c>
      <c r="C13" s="293" t="e">
        <f>'VI-5º ANO'!#REF!</f>
        <v>#REF!</v>
      </c>
      <c r="D13" s="112" t="e">
        <f>C13/'VI-5º ANO'!B17</f>
        <v>#REF!</v>
      </c>
      <c r="E13" s="298" t="e">
        <f>'VI-5º ANO'!B17-'VI-5º ANO'!#REF!</f>
        <v>#REF!</v>
      </c>
      <c r="F13" s="112" t="e">
        <f>E13/'VI-5º ANO'!B17</f>
        <v>#REF!</v>
      </c>
      <c r="G13"/>
      <c r="H13"/>
      <c r="I13"/>
      <c r="J13"/>
    </row>
    <row r="14" spans="1:13" ht="15.75" thickBot="1">
      <c r="B14" s="111" t="s">
        <v>2</v>
      </c>
      <c r="C14" s="291" t="e">
        <f>'VII-6º ANO'!#REF!</f>
        <v>#REF!</v>
      </c>
      <c r="D14" s="112" t="e">
        <f>C14/'VII-6º ANO'!B16</f>
        <v>#REF!</v>
      </c>
      <c r="E14" s="296" t="e">
        <f>'VII-6º ANO'!#REF!-'VII-6º ANO'!#REF!</f>
        <v>#REF!</v>
      </c>
      <c r="F14" s="112" t="e">
        <f>E14/'VII-6º ANO'!B16</f>
        <v>#REF!</v>
      </c>
      <c r="G14" s="17"/>
    </row>
    <row r="15" spans="1:13" ht="15.75" thickBot="1">
      <c r="B15" s="111" t="s">
        <v>154</v>
      </c>
      <c r="C15" s="630" t="e">
        <f>SUM(C13:C14)</f>
        <v>#REF!</v>
      </c>
      <c r="D15" s="628" t="e">
        <f>C15/(C15+E15)</f>
        <v>#REF!</v>
      </c>
      <c r="E15" s="629" t="e">
        <f>SUM(E13:E14)</f>
        <v>#REF!</v>
      </c>
      <c r="F15" s="628" t="e">
        <f>E15/(C15+E15)</f>
        <v>#REF!</v>
      </c>
      <c r="G15" s="17"/>
    </row>
    <row r="16" spans="1:13" ht="15.75" thickBot="1">
      <c r="B16" s="111" t="s">
        <v>3</v>
      </c>
      <c r="C16" s="291" t="e">
        <f>'VIII-7º ANO'!#REF!</f>
        <v>#REF!</v>
      </c>
      <c r="D16" s="112" t="e">
        <f>C16/'VIII-7º ANO'!B17</f>
        <v>#REF!</v>
      </c>
      <c r="E16" s="296" t="e">
        <f>'VIII-7º ANO'!B17-'VIII-7º ANO'!#REF!</f>
        <v>#REF!</v>
      </c>
      <c r="F16" s="112" t="e">
        <f>E16/'VIII-7º ANO'!B17</f>
        <v>#REF!</v>
      </c>
    </row>
    <row r="17" spans="1:6" ht="15.75" thickBot="1">
      <c r="B17" s="111" t="s">
        <v>4</v>
      </c>
      <c r="C17" s="291" t="e">
        <f>'IX-8º ANO'!#REF!</f>
        <v>#REF!</v>
      </c>
      <c r="D17" s="112" t="e">
        <f>C17/'IX-8º ANO'!B15</f>
        <v>#REF!</v>
      </c>
      <c r="E17" s="296" t="e">
        <f>'IX-8º ANO'!B15-'IX-8º ANO'!#REF!</f>
        <v>#REF!</v>
      </c>
      <c r="F17" s="112" t="e">
        <f>E17/'IX-8º ANO'!B15</f>
        <v>#REF!</v>
      </c>
    </row>
    <row r="18" spans="1:6" ht="15.75" thickBot="1">
      <c r="B18" s="111" t="s">
        <v>5</v>
      </c>
      <c r="C18" s="291" t="e">
        <f>'X-9º ANO'!#REF!</f>
        <v>#REF!</v>
      </c>
      <c r="D18" s="112" t="e">
        <f>C18/'X-9º ANO'!B13</f>
        <v>#REF!</v>
      </c>
      <c r="E18" s="296" t="e">
        <f>'X-9º ANO'!#REF!-'X-9º ANO'!#REF!</f>
        <v>#REF!</v>
      </c>
      <c r="F18" s="112" t="e">
        <f>E18/'X-9º ANO'!B13</f>
        <v>#REF!</v>
      </c>
    </row>
    <row r="19" spans="1:6" ht="15.75" thickBot="1">
      <c r="B19" s="631" t="s">
        <v>157</v>
      </c>
      <c r="C19" s="630" t="e">
        <f>SUM(C16:C18)</f>
        <v>#REF!</v>
      </c>
      <c r="D19" s="628" t="e">
        <f>C19/(C19+E19)</f>
        <v>#REF!</v>
      </c>
      <c r="E19" s="629" t="e">
        <f>SUM(E16:E18)</f>
        <v>#REF!</v>
      </c>
      <c r="F19" s="628" t="e">
        <f>E19/(C19+E19)</f>
        <v>#REF!</v>
      </c>
    </row>
    <row r="20" spans="1:6" ht="18.75" thickBot="1">
      <c r="B20" s="287" t="s">
        <v>0</v>
      </c>
      <c r="C20" s="288" t="e">
        <f>C12+C15+C19</f>
        <v>#REF!</v>
      </c>
      <c r="D20" s="289" t="e">
        <f>C20/(C20+E20)</f>
        <v>#REF!</v>
      </c>
      <c r="E20" s="288" t="e">
        <f>E12+E15+E19</f>
        <v>#REF!</v>
      </c>
      <c r="F20" s="289" t="e">
        <f>E20/(C20+E20)</f>
        <v>#REF!</v>
      </c>
    </row>
    <row r="24" spans="1:6" ht="13.5" thickBot="1"/>
    <row r="25" spans="1:6" ht="12.75" customHeight="1">
      <c r="A25" s="1430" t="s">
        <v>485</v>
      </c>
      <c r="B25" s="1431"/>
      <c r="C25" s="1431"/>
      <c r="D25" s="1431"/>
      <c r="E25" s="1432"/>
      <c r="F25" s="311"/>
    </row>
    <row r="26" spans="1:6" ht="12.75" customHeight="1">
      <c r="A26" s="1433"/>
      <c r="B26" s="1434"/>
      <c r="C26" s="1434"/>
      <c r="D26" s="1434"/>
      <c r="E26" s="1435"/>
      <c r="F26" s="311"/>
    </row>
    <row r="27" spans="1:6" ht="12.75" customHeight="1">
      <c r="A27" s="1433"/>
      <c r="B27" s="1434"/>
      <c r="C27" s="1434"/>
      <c r="D27" s="1434"/>
      <c r="E27" s="1435"/>
      <c r="F27" s="311"/>
    </row>
    <row r="28" spans="1:6" ht="13.5" customHeight="1" thickBot="1">
      <c r="A28" s="1436"/>
      <c r="B28" s="1437"/>
      <c r="C28" s="1437"/>
      <c r="D28" s="1437"/>
      <c r="E28" s="1438"/>
      <c r="F28" s="311"/>
    </row>
    <row r="29" spans="1:6" ht="19.5" thickBot="1">
      <c r="A29" s="1426" t="s">
        <v>339</v>
      </c>
      <c r="B29" s="1427"/>
      <c r="C29" s="1427"/>
      <c r="D29" s="1427"/>
      <c r="E29" s="1428"/>
    </row>
    <row r="30" spans="1:6" ht="18.75" thickBot="1">
      <c r="A30" s="300"/>
      <c r="B30" s="300" t="s">
        <v>340</v>
      </c>
      <c r="C30" s="300" t="s">
        <v>336</v>
      </c>
      <c r="D30" s="300" t="s">
        <v>337</v>
      </c>
      <c r="E30" s="301" t="s">
        <v>338</v>
      </c>
    </row>
    <row r="31" spans="1:6" ht="19.5" thickBot="1">
      <c r="A31" s="1441"/>
      <c r="B31" s="302" t="s">
        <v>341</v>
      </c>
      <c r="C31" s="305">
        <f>1-0.135</f>
        <v>0.86499999999999999</v>
      </c>
      <c r="D31" s="305">
        <v>0.92</v>
      </c>
      <c r="E31" s="309" t="e">
        <f>(C3+C8)/(C3+C8+E3+E8)</f>
        <v>#REF!</v>
      </c>
    </row>
    <row r="32" spans="1:6" ht="19.5" thickBot="1">
      <c r="A32" s="1429"/>
      <c r="B32" s="302" t="s">
        <v>342</v>
      </c>
      <c r="C32" s="305">
        <f>1-0.083</f>
        <v>0.91700000000000004</v>
      </c>
      <c r="D32" s="305">
        <v>0.92</v>
      </c>
      <c r="E32" s="309" t="e">
        <f>(C4+C9)/(C4+C9+E4+E9)</f>
        <v>#REF!</v>
      </c>
    </row>
    <row r="33" spans="1:5" ht="19.5" thickBot="1">
      <c r="A33" s="1429"/>
      <c r="B33" s="303" t="s">
        <v>343</v>
      </c>
      <c r="C33" s="305">
        <f>1-0.048</f>
        <v>0.95199999999999996</v>
      </c>
      <c r="D33" s="305">
        <v>0.95</v>
      </c>
      <c r="E33" s="309" t="e">
        <f>(C5+C10)/(C5+C10+E5+E10)</f>
        <v>#REF!</v>
      </c>
    </row>
    <row r="34" spans="1:5" ht="19.5" thickBot="1">
      <c r="A34" s="1442" t="s">
        <v>400</v>
      </c>
      <c r="B34" s="1443"/>
      <c r="C34" s="373"/>
      <c r="D34" s="373"/>
      <c r="E34" s="374" t="e">
        <f>(C3+C4+C5+C8+C9+C10)/(C3+C4+C5+C8+C9+C10+E3+E4+E5+E8+E9+E10)</f>
        <v>#REF!</v>
      </c>
    </row>
    <row r="35" spans="1:5" ht="19.5" thickBot="1">
      <c r="A35" s="1423" t="s">
        <v>344</v>
      </c>
      <c r="B35" s="1424"/>
      <c r="C35" s="306">
        <f>1-0.069</f>
        <v>0.93100000000000005</v>
      </c>
      <c r="D35" s="306">
        <v>0.94</v>
      </c>
      <c r="E35" s="306" t="e">
        <f>D12</f>
        <v>#REF!</v>
      </c>
    </row>
    <row r="36" spans="1:5" ht="18.75" thickBot="1">
      <c r="A36" s="1425" t="s">
        <v>345</v>
      </c>
      <c r="B36" s="1425"/>
      <c r="C36" s="307">
        <f>458489/476062</f>
        <v>0.96308674080266854</v>
      </c>
      <c r="D36" s="307">
        <f>391792/406469</f>
        <v>0.9638914652777949</v>
      </c>
      <c r="E36" s="310" t="s">
        <v>346</v>
      </c>
    </row>
    <row r="37" spans="1:5" ht="19.5" thickBot="1">
      <c r="A37" s="1439"/>
      <c r="B37" s="304" t="s">
        <v>243</v>
      </c>
      <c r="C37" s="305">
        <f>1-0.164</f>
        <v>0.83599999999999997</v>
      </c>
      <c r="D37" s="305">
        <v>0.85</v>
      </c>
      <c r="E37" s="309" t="e">
        <f>D13</f>
        <v>#REF!</v>
      </c>
    </row>
    <row r="38" spans="1:5" ht="19.5" thickBot="1">
      <c r="A38" s="1440"/>
      <c r="B38" s="302" t="s">
        <v>244</v>
      </c>
      <c r="C38" s="305">
        <f>1-0.191</f>
        <v>0.80899999999999994</v>
      </c>
      <c r="D38" s="305">
        <v>0.8</v>
      </c>
      <c r="E38" s="309" t="e">
        <f>D14</f>
        <v>#REF!</v>
      </c>
    </row>
    <row r="39" spans="1:5" ht="19.5" thickBot="1">
      <c r="A39" s="1423" t="s">
        <v>347</v>
      </c>
      <c r="B39" s="1424"/>
      <c r="C39" s="306">
        <f>1-0.176</f>
        <v>0.82400000000000007</v>
      </c>
      <c r="D39" s="306">
        <v>0.82</v>
      </c>
      <c r="E39" s="306" t="e">
        <f>D15</f>
        <v>#REF!</v>
      </c>
    </row>
    <row r="40" spans="1:5" ht="18.75" thickBot="1">
      <c r="A40" s="1425" t="s">
        <v>348</v>
      </c>
      <c r="B40" s="1425"/>
      <c r="C40" s="307">
        <f>235183/254789</f>
        <v>0.92305005318125977</v>
      </c>
      <c r="D40" s="307">
        <f>206084/223918</f>
        <v>0.92035477272930266</v>
      </c>
      <c r="E40" s="310" t="s">
        <v>346</v>
      </c>
    </row>
    <row r="41" spans="1:5" ht="19.5" thickBot="1">
      <c r="A41" s="1429"/>
      <c r="B41" s="304" t="s">
        <v>246</v>
      </c>
      <c r="C41" s="305">
        <f>1-0.318</f>
        <v>0.68199999999999994</v>
      </c>
      <c r="D41" s="305">
        <v>0.61</v>
      </c>
      <c r="E41" s="309" t="e">
        <f>D16</f>
        <v>#REF!</v>
      </c>
    </row>
    <row r="42" spans="1:5" ht="19.5" thickBot="1">
      <c r="A42" s="1429"/>
      <c r="B42" s="302" t="s">
        <v>247</v>
      </c>
      <c r="C42" s="305">
        <f>1-0.205</f>
        <v>0.79500000000000004</v>
      </c>
      <c r="D42" s="305">
        <v>0.76</v>
      </c>
      <c r="E42" s="309" t="e">
        <f>D17</f>
        <v>#REF!</v>
      </c>
    </row>
    <row r="43" spans="1:5" ht="19.5" thickBot="1">
      <c r="A43" s="1429"/>
      <c r="B43" s="302" t="s">
        <v>248</v>
      </c>
      <c r="C43" s="305">
        <f>1-0.198</f>
        <v>0.80200000000000005</v>
      </c>
      <c r="D43" s="305">
        <v>0.64</v>
      </c>
      <c r="E43" s="309" t="e">
        <f>D18</f>
        <v>#REF!</v>
      </c>
    </row>
    <row r="44" spans="1:5" ht="19.5" thickBot="1">
      <c r="A44" s="1423" t="s">
        <v>349</v>
      </c>
      <c r="B44" s="1424"/>
      <c r="C44" s="306">
        <f>1-0.244</f>
        <v>0.75600000000000001</v>
      </c>
      <c r="D44" s="306">
        <v>0.67</v>
      </c>
      <c r="E44" s="306" t="e">
        <f>D19</f>
        <v>#REF!</v>
      </c>
    </row>
    <row r="45" spans="1:5" ht="18.75" thickBot="1">
      <c r="A45" s="1425" t="s">
        <v>350</v>
      </c>
      <c r="B45" s="1425"/>
      <c r="C45" s="307">
        <f>292472/339311</f>
        <v>0.86195849825086723</v>
      </c>
      <c r="D45" s="307">
        <f>258148/300909</f>
        <v>0.85789391477157551</v>
      </c>
      <c r="E45" s="310" t="s">
        <v>346</v>
      </c>
    </row>
    <row r="46" spans="1:5" ht="21.75" thickBot="1">
      <c r="A46" s="1423" t="s">
        <v>351</v>
      </c>
      <c r="B46" s="1424"/>
      <c r="C46" s="308">
        <f>1-0.147</f>
        <v>0.85299999999999998</v>
      </c>
      <c r="D46" s="308">
        <v>0.83</v>
      </c>
      <c r="E46" s="308" t="e">
        <f>D20</f>
        <v>#REF!</v>
      </c>
    </row>
    <row r="47" spans="1:5">
      <c r="A47" s="507" t="s">
        <v>410</v>
      </c>
    </row>
  </sheetData>
  <mergeCells count="13">
    <mergeCell ref="A25:E28"/>
    <mergeCell ref="A36:B36"/>
    <mergeCell ref="A37:A38"/>
    <mergeCell ref="A39:B39"/>
    <mergeCell ref="A31:A33"/>
    <mergeCell ref="A35:B35"/>
    <mergeCell ref="A34:B34"/>
    <mergeCell ref="A44:B44"/>
    <mergeCell ref="A45:B45"/>
    <mergeCell ref="A46:B46"/>
    <mergeCell ref="A29:E29"/>
    <mergeCell ref="A40:B40"/>
    <mergeCell ref="A41:A43"/>
  </mergeCells>
  <phoneticPr fontId="0" type="noConversion"/>
  <hyperlinks>
    <hyperlink ref="A47" r:id="rId1"/>
  </hyperlinks>
  <printOptions horizontalCentered="1"/>
  <pageMargins left="0.51181102362204722" right="0.51181102362204722" top="0.19685039370078741" bottom="0" header="0.39370078740157483" footer="0.19685039370078741"/>
  <pageSetup paperSize="9" scale="72" orientation="portrait" useFirstPageNumber="1" r:id="rId2"/>
  <headerFooter>
    <oddHeader>&amp;L&amp;"Trebuchet MS,Negrito"&amp;12&amp;K01+017AGRUPAMENTO DE ESCOLAS MIGUEL TORGA&amp;C
&amp;R&amp;"Trebuchet MS,Negrito itálico"&amp;12AUTO - AVALIAÇÃO
2ºPeríodo  2011/12
Tabela XIX</oddHeader>
    <oddFooter>&amp;C
&amp;R19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Q31"/>
  <sheetViews>
    <sheetView showGridLines="0" view="pageLayout" zoomScale="70" zoomScaleNormal="110" zoomScalePageLayoutView="70" workbookViewId="0">
      <selection activeCell="J30" sqref="J30"/>
    </sheetView>
  </sheetViews>
  <sheetFormatPr defaultRowHeight="12.75"/>
  <cols>
    <col min="2" max="2" width="7.28515625" customWidth="1"/>
    <col min="3" max="3" width="8.140625" customWidth="1"/>
    <col min="4" max="4" width="8" customWidth="1"/>
    <col min="6" max="6" width="10.42578125" bestFit="1" customWidth="1"/>
    <col min="7" max="7" width="13" bestFit="1" customWidth="1"/>
    <col min="8" max="8" width="10.42578125" customWidth="1"/>
    <col min="9" max="9" width="9.28515625" bestFit="1" customWidth="1"/>
    <col min="10" max="10" width="10.5703125" bestFit="1" customWidth="1"/>
    <col min="11" max="11" width="13.140625" bestFit="1" customWidth="1"/>
    <col min="12" max="12" width="9.5703125" customWidth="1"/>
    <col min="13" max="13" width="9.28515625" bestFit="1" customWidth="1"/>
    <col min="14" max="14" width="10.5703125" bestFit="1" customWidth="1"/>
    <col min="15" max="15" width="13.140625" bestFit="1" customWidth="1"/>
    <col min="16" max="16" width="9.7109375" customWidth="1"/>
  </cols>
  <sheetData>
    <row r="1" spans="2:17" ht="21.75" thickBot="1">
      <c r="B1" s="1234"/>
      <c r="C1" s="1234"/>
      <c r="D1" s="1234"/>
      <c r="E1" s="1234"/>
      <c r="F1" s="1234"/>
      <c r="G1" s="1234"/>
      <c r="H1" s="1234"/>
      <c r="I1" s="1234"/>
      <c r="J1" s="1234"/>
      <c r="K1" s="1234"/>
      <c r="L1" s="1234"/>
      <c r="M1" s="1234"/>
      <c r="N1" s="1234"/>
      <c r="O1" s="1234"/>
      <c r="P1" s="1234"/>
      <c r="Q1" s="633"/>
    </row>
    <row r="2" spans="2:17" ht="21.75" thickBot="1">
      <c r="B2" s="681"/>
      <c r="C2" s="681"/>
      <c r="D2" s="681"/>
      <c r="E2" s="681"/>
      <c r="F2" s="681"/>
      <c r="G2" s="681"/>
      <c r="H2" s="681"/>
      <c r="I2" s="681"/>
      <c r="J2" s="681"/>
      <c r="K2" s="681"/>
      <c r="L2" s="681"/>
      <c r="M2" s="681"/>
      <c r="N2" s="681"/>
      <c r="O2" s="1233"/>
      <c r="P2" s="1233"/>
      <c r="Q2" s="633"/>
    </row>
    <row r="3" spans="2:17" ht="14.25" customHeight="1">
      <c r="B3" s="1240" t="s">
        <v>103</v>
      </c>
      <c r="C3" s="1240" t="s">
        <v>104</v>
      </c>
      <c r="D3" s="1243" t="s">
        <v>106</v>
      </c>
      <c r="E3" s="1227" t="s">
        <v>105</v>
      </c>
      <c r="F3" s="1228"/>
      <c r="G3" s="1228"/>
      <c r="H3" s="1229"/>
      <c r="I3" s="1227" t="s">
        <v>107</v>
      </c>
      <c r="J3" s="1228"/>
      <c r="K3" s="1228"/>
      <c r="L3" s="1229"/>
      <c r="M3" s="1227" t="s">
        <v>108</v>
      </c>
      <c r="N3" s="1228"/>
      <c r="O3" s="1228"/>
      <c r="P3" s="1229"/>
    </row>
    <row r="4" spans="2:17" ht="13.5" thickBot="1">
      <c r="B4" s="1241"/>
      <c r="C4" s="1241"/>
      <c r="D4" s="1244"/>
      <c r="E4" s="1230"/>
      <c r="F4" s="1231"/>
      <c r="G4" s="1231"/>
      <c r="H4" s="1232"/>
      <c r="I4" s="1230"/>
      <c r="J4" s="1231"/>
      <c r="K4" s="1231"/>
      <c r="L4" s="1232"/>
      <c r="M4" s="1230"/>
      <c r="N4" s="1231"/>
      <c r="O4" s="1231"/>
      <c r="P4" s="1232"/>
    </row>
    <row r="5" spans="2:17" ht="14.25" thickBot="1">
      <c r="B5" s="1242"/>
      <c r="C5" s="1242"/>
      <c r="D5" s="1245"/>
      <c r="E5" s="85" t="s">
        <v>109</v>
      </c>
      <c r="F5" s="85" t="s">
        <v>110</v>
      </c>
      <c r="G5" s="85" t="s">
        <v>111</v>
      </c>
      <c r="H5" s="85" t="s">
        <v>112</v>
      </c>
      <c r="I5" s="85" t="s">
        <v>109</v>
      </c>
      <c r="J5" s="85" t="s">
        <v>110</v>
      </c>
      <c r="K5" s="85" t="s">
        <v>111</v>
      </c>
      <c r="L5" s="85" t="s">
        <v>112</v>
      </c>
      <c r="M5" s="85" t="s">
        <v>109</v>
      </c>
      <c r="N5" s="85" t="s">
        <v>110</v>
      </c>
      <c r="O5" s="85" t="s">
        <v>111</v>
      </c>
      <c r="P5" s="85" t="s">
        <v>112</v>
      </c>
    </row>
    <row r="6" spans="2:17" ht="15.75" thickBot="1">
      <c r="B6" s="1237">
        <v>1</v>
      </c>
      <c r="C6" s="89">
        <v>3</v>
      </c>
      <c r="D6" s="1065">
        <v>0</v>
      </c>
      <c r="E6" s="190">
        <v>0</v>
      </c>
      <c r="F6" s="190">
        <v>0</v>
      </c>
      <c r="G6" s="190">
        <v>0</v>
      </c>
      <c r="H6" s="99">
        <v>0</v>
      </c>
      <c r="I6" s="190">
        <v>0</v>
      </c>
      <c r="J6" s="190">
        <v>0</v>
      </c>
      <c r="K6" s="190">
        <v>0</v>
      </c>
      <c r="L6" s="99">
        <v>0</v>
      </c>
      <c r="M6" s="190">
        <v>0</v>
      </c>
      <c r="N6" s="190">
        <v>0</v>
      </c>
      <c r="O6" s="190">
        <v>0</v>
      </c>
      <c r="P6" s="99">
        <v>0</v>
      </c>
    </row>
    <row r="7" spans="2:17" ht="15.75" customHeight="1" thickBot="1">
      <c r="B7" s="1238"/>
      <c r="C7" s="89">
        <v>4</v>
      </c>
      <c r="D7" s="1064">
        <v>7</v>
      </c>
      <c r="E7" s="101">
        <v>5</v>
      </c>
      <c r="F7" s="101">
        <v>2</v>
      </c>
      <c r="G7" s="101">
        <v>0</v>
      </c>
      <c r="H7" s="99">
        <f>G7/D7</f>
        <v>0</v>
      </c>
      <c r="I7" s="101">
        <v>6</v>
      </c>
      <c r="J7" s="101">
        <v>1</v>
      </c>
      <c r="K7" s="101">
        <v>0</v>
      </c>
      <c r="L7" s="99">
        <f t="shared" ref="L7:L25" si="0">K7/D7</f>
        <v>0</v>
      </c>
      <c r="M7" s="101">
        <v>5</v>
      </c>
      <c r="N7" s="101">
        <v>2</v>
      </c>
      <c r="O7" s="101">
        <v>0</v>
      </c>
      <c r="P7" s="99">
        <f t="shared" ref="P7:P25" si="1">O7/D7</f>
        <v>0</v>
      </c>
    </row>
    <row r="8" spans="2:17" ht="15.75" customHeight="1" thickBot="1">
      <c r="B8" s="1239"/>
      <c r="C8" s="89">
        <v>5</v>
      </c>
      <c r="D8" s="1064">
        <v>15</v>
      </c>
      <c r="E8" s="101">
        <v>12</v>
      </c>
      <c r="F8" s="101">
        <v>3</v>
      </c>
      <c r="G8" s="101">
        <v>0</v>
      </c>
      <c r="H8" s="99">
        <f>G8/D8</f>
        <v>0</v>
      </c>
      <c r="I8" s="101">
        <v>12</v>
      </c>
      <c r="J8" s="101">
        <v>2</v>
      </c>
      <c r="K8" s="101">
        <v>1</v>
      </c>
      <c r="L8" s="99">
        <f t="shared" si="0"/>
        <v>6.6666666666666666E-2</v>
      </c>
      <c r="M8" s="101">
        <v>10</v>
      </c>
      <c r="N8" s="101">
        <v>4</v>
      </c>
      <c r="O8" s="101">
        <v>1</v>
      </c>
      <c r="P8" s="99">
        <f t="shared" si="1"/>
        <v>6.6666666666666666E-2</v>
      </c>
    </row>
    <row r="9" spans="2:17" ht="17.25" thickBot="1">
      <c r="B9" s="95"/>
      <c r="C9" s="96" t="s">
        <v>0</v>
      </c>
      <c r="D9" s="98">
        <f>SUM(D6:D8)</f>
        <v>22</v>
      </c>
      <c r="E9" s="98">
        <f>SUM(E7:E8)</f>
        <v>17</v>
      </c>
      <c r="F9" s="98">
        <f>SUM(F7:F8)</f>
        <v>5</v>
      </c>
      <c r="G9" s="98">
        <f>SUM(G7:G8)</f>
        <v>0</v>
      </c>
      <c r="H9" s="632">
        <f>G9/D9</f>
        <v>0</v>
      </c>
      <c r="I9" s="102">
        <f>SUM(I7:I8)</f>
        <v>18</v>
      </c>
      <c r="J9" s="102">
        <f>SUM(J7:J8)</f>
        <v>3</v>
      </c>
      <c r="K9" s="102">
        <f>SUM(K7:K8)</f>
        <v>1</v>
      </c>
      <c r="L9" s="632">
        <f t="shared" si="0"/>
        <v>4.5454545454545456E-2</v>
      </c>
      <c r="M9" s="102">
        <f>SUM(M7:M8)</f>
        <v>15</v>
      </c>
      <c r="N9" s="102">
        <f>SUM(N7:N8)</f>
        <v>6</v>
      </c>
      <c r="O9" s="102">
        <f>SUM(O7:O8)</f>
        <v>1</v>
      </c>
      <c r="P9" s="632">
        <f t="shared" si="1"/>
        <v>4.5454545454545456E-2</v>
      </c>
    </row>
    <row r="10" spans="2:17" ht="15.75" thickBot="1">
      <c r="B10" s="1237">
        <v>2</v>
      </c>
      <c r="C10" s="89">
        <v>3</v>
      </c>
      <c r="D10" s="1065">
        <v>0</v>
      </c>
      <c r="E10" s="190">
        <v>0</v>
      </c>
      <c r="F10" s="190">
        <v>0</v>
      </c>
      <c r="G10" s="190">
        <v>0</v>
      </c>
      <c r="H10" s="99">
        <v>0</v>
      </c>
      <c r="I10" s="190">
        <v>0</v>
      </c>
      <c r="J10" s="190">
        <v>0</v>
      </c>
      <c r="K10" s="190">
        <v>0</v>
      </c>
      <c r="L10" s="99">
        <v>0</v>
      </c>
      <c r="M10" s="190">
        <v>0</v>
      </c>
      <c r="N10" s="190">
        <v>0</v>
      </c>
      <c r="O10" s="190">
        <v>0</v>
      </c>
      <c r="P10" s="99">
        <v>0</v>
      </c>
    </row>
    <row r="11" spans="2:17" ht="15.75" thickBot="1">
      <c r="B11" s="1238"/>
      <c r="C11" s="89">
        <v>4</v>
      </c>
      <c r="D11" s="1064">
        <v>10</v>
      </c>
      <c r="E11" s="101">
        <v>8</v>
      </c>
      <c r="F11" s="101">
        <v>2</v>
      </c>
      <c r="G11" s="101">
        <v>0</v>
      </c>
      <c r="H11" s="99">
        <f t="shared" ref="H11:H25" si="2">G11/D11</f>
        <v>0</v>
      </c>
      <c r="I11" s="101">
        <v>9</v>
      </c>
      <c r="J11" s="101">
        <v>1</v>
      </c>
      <c r="K11" s="101">
        <v>0</v>
      </c>
      <c r="L11" s="99">
        <f t="shared" si="0"/>
        <v>0</v>
      </c>
      <c r="M11" s="101">
        <v>9</v>
      </c>
      <c r="N11" s="101">
        <v>1</v>
      </c>
      <c r="O11" s="101">
        <v>0</v>
      </c>
      <c r="P11" s="99">
        <f t="shared" si="1"/>
        <v>0</v>
      </c>
    </row>
    <row r="12" spans="2:17" ht="15.75" thickBot="1">
      <c r="B12" s="1239"/>
      <c r="C12" s="89">
        <v>5</v>
      </c>
      <c r="D12" s="1064">
        <v>13</v>
      </c>
      <c r="E12" s="101">
        <v>13</v>
      </c>
      <c r="F12" s="101">
        <v>0</v>
      </c>
      <c r="G12" s="101">
        <v>0</v>
      </c>
      <c r="H12" s="99">
        <f t="shared" si="2"/>
        <v>0</v>
      </c>
      <c r="I12" s="101">
        <v>13</v>
      </c>
      <c r="J12" s="101">
        <v>0</v>
      </c>
      <c r="K12" s="101">
        <v>0</v>
      </c>
      <c r="L12" s="99">
        <f t="shared" si="0"/>
        <v>0</v>
      </c>
      <c r="M12" s="101">
        <v>12</v>
      </c>
      <c r="N12" s="101">
        <v>1</v>
      </c>
      <c r="O12" s="101">
        <v>0</v>
      </c>
      <c r="P12" s="99">
        <f t="shared" si="1"/>
        <v>0</v>
      </c>
    </row>
    <row r="13" spans="2:17" ht="17.25" thickBot="1">
      <c r="B13" s="95"/>
      <c r="C13" s="96" t="s">
        <v>0</v>
      </c>
      <c r="D13" s="98">
        <f>SUM(D10:D12)</f>
        <v>23</v>
      </c>
      <c r="E13" s="98">
        <f>SUM(E11:E12)</f>
        <v>21</v>
      </c>
      <c r="F13" s="98">
        <f>SUM(F11:F12)</f>
        <v>2</v>
      </c>
      <c r="G13" s="98">
        <f>SUM(G11:G12)</f>
        <v>0</v>
      </c>
      <c r="H13" s="632">
        <f t="shared" si="2"/>
        <v>0</v>
      </c>
      <c r="I13" s="102">
        <f>SUM(I11:I12)</f>
        <v>22</v>
      </c>
      <c r="J13" s="102">
        <f>SUM(J11:J12)</f>
        <v>1</v>
      </c>
      <c r="K13" s="102">
        <f>SUM(K11:K12)</f>
        <v>0</v>
      </c>
      <c r="L13" s="632">
        <f t="shared" si="0"/>
        <v>0</v>
      </c>
      <c r="M13" s="102">
        <f>SUM(M11:M12)</f>
        <v>21</v>
      </c>
      <c r="N13" s="102">
        <f>SUM(N11:N12)</f>
        <v>2</v>
      </c>
      <c r="O13" s="102">
        <f>SUM(O11:O12)</f>
        <v>0</v>
      </c>
      <c r="P13" s="632">
        <f t="shared" si="1"/>
        <v>0</v>
      </c>
    </row>
    <row r="14" spans="2:17" ht="15.75" thickBot="1">
      <c r="B14" s="1237">
        <v>3</v>
      </c>
      <c r="C14" s="89">
        <v>3</v>
      </c>
      <c r="D14" s="1065">
        <v>0</v>
      </c>
      <c r="E14" s="190">
        <v>0</v>
      </c>
      <c r="F14" s="190">
        <v>0</v>
      </c>
      <c r="G14" s="190">
        <v>0</v>
      </c>
      <c r="H14" s="99">
        <v>0</v>
      </c>
      <c r="I14" s="190">
        <v>0</v>
      </c>
      <c r="J14" s="190">
        <v>0</v>
      </c>
      <c r="K14" s="190">
        <v>0</v>
      </c>
      <c r="L14" s="99">
        <v>0</v>
      </c>
      <c r="M14" s="190">
        <v>0</v>
      </c>
      <c r="N14" s="190">
        <v>0</v>
      </c>
      <c r="O14" s="190">
        <v>0</v>
      </c>
      <c r="P14" s="99">
        <v>0</v>
      </c>
    </row>
    <row r="15" spans="2:17" ht="15.75" thickBot="1">
      <c r="B15" s="1238"/>
      <c r="C15" s="89">
        <v>4</v>
      </c>
      <c r="D15" s="1064">
        <v>11</v>
      </c>
      <c r="E15" s="101">
        <v>11</v>
      </c>
      <c r="F15" s="101">
        <v>0</v>
      </c>
      <c r="G15" s="101">
        <v>0</v>
      </c>
      <c r="H15" s="99">
        <f t="shared" si="2"/>
        <v>0</v>
      </c>
      <c r="I15" s="101">
        <v>9</v>
      </c>
      <c r="J15" s="101">
        <v>2</v>
      </c>
      <c r="K15" s="101">
        <v>0</v>
      </c>
      <c r="L15" s="99">
        <f t="shared" si="0"/>
        <v>0</v>
      </c>
      <c r="M15" s="101">
        <v>8</v>
      </c>
      <c r="N15" s="101">
        <v>3</v>
      </c>
      <c r="O15" s="101">
        <v>0</v>
      </c>
      <c r="P15" s="99">
        <f t="shared" si="1"/>
        <v>0</v>
      </c>
    </row>
    <row r="16" spans="2:17" ht="15.75" thickBot="1">
      <c r="B16" s="1239"/>
      <c r="C16" s="89">
        <v>5</v>
      </c>
      <c r="D16" s="1064">
        <v>14</v>
      </c>
      <c r="E16" s="101">
        <v>14</v>
      </c>
      <c r="F16" s="101">
        <v>0</v>
      </c>
      <c r="G16" s="101">
        <v>0</v>
      </c>
      <c r="H16" s="99">
        <f t="shared" si="2"/>
        <v>0</v>
      </c>
      <c r="I16" s="101">
        <v>13</v>
      </c>
      <c r="J16" s="101">
        <v>1</v>
      </c>
      <c r="K16" s="101">
        <v>0</v>
      </c>
      <c r="L16" s="99">
        <f t="shared" si="0"/>
        <v>0</v>
      </c>
      <c r="M16" s="101">
        <v>13</v>
      </c>
      <c r="N16" s="101">
        <v>1</v>
      </c>
      <c r="O16" s="101">
        <v>0</v>
      </c>
      <c r="P16" s="99">
        <f t="shared" si="1"/>
        <v>0</v>
      </c>
    </row>
    <row r="17" spans="2:16" ht="17.25" thickBot="1">
      <c r="B17" s="95"/>
      <c r="C17" s="96" t="s">
        <v>0</v>
      </c>
      <c r="D17" s="98">
        <f>SUM(D14:D16)</f>
        <v>25</v>
      </c>
      <c r="E17" s="98">
        <f>SUM(E15:E16)</f>
        <v>25</v>
      </c>
      <c r="F17" s="98">
        <f>SUM(F15:F16)</f>
        <v>0</v>
      </c>
      <c r="G17" s="98">
        <v>0</v>
      </c>
      <c r="H17" s="632">
        <f t="shared" si="2"/>
        <v>0</v>
      </c>
      <c r="I17" s="102">
        <f>SUM(I15:I16)</f>
        <v>22</v>
      </c>
      <c r="J17" s="102">
        <f>SUM(J15:J16)</f>
        <v>3</v>
      </c>
      <c r="K17" s="102">
        <f>SUM(K15:K16)</f>
        <v>0</v>
      </c>
      <c r="L17" s="632">
        <f t="shared" si="0"/>
        <v>0</v>
      </c>
      <c r="M17" s="102">
        <f>SUM(M15:M16)</f>
        <v>21</v>
      </c>
      <c r="N17" s="102">
        <f>SUM(N15:N16)</f>
        <v>4</v>
      </c>
      <c r="O17" s="102">
        <f>SUM(O15:O16)</f>
        <v>0</v>
      </c>
      <c r="P17" s="632">
        <f t="shared" si="1"/>
        <v>0</v>
      </c>
    </row>
    <row r="18" spans="2:16" ht="15.75" thickBot="1">
      <c r="B18" s="1237">
        <v>4</v>
      </c>
      <c r="C18" s="89">
        <v>3</v>
      </c>
      <c r="D18" s="1065">
        <v>0</v>
      </c>
      <c r="E18" s="190">
        <v>0</v>
      </c>
      <c r="F18" s="190">
        <v>0</v>
      </c>
      <c r="G18" s="190">
        <v>0</v>
      </c>
      <c r="H18" s="99">
        <v>0</v>
      </c>
      <c r="I18" s="190">
        <v>0</v>
      </c>
      <c r="J18" s="190">
        <v>0</v>
      </c>
      <c r="K18" s="190">
        <v>0</v>
      </c>
      <c r="L18" s="99">
        <v>0</v>
      </c>
      <c r="M18" s="190">
        <v>0</v>
      </c>
      <c r="N18" s="190">
        <v>0</v>
      </c>
      <c r="O18" s="190">
        <v>0</v>
      </c>
      <c r="P18" s="99">
        <v>0</v>
      </c>
    </row>
    <row r="19" spans="2:16" ht="15.75" thickBot="1">
      <c r="B19" s="1238"/>
      <c r="C19" s="89">
        <v>4</v>
      </c>
      <c r="D19" s="1064">
        <v>13</v>
      </c>
      <c r="E19" s="101">
        <v>13</v>
      </c>
      <c r="F19" s="101">
        <v>0</v>
      </c>
      <c r="G19" s="101">
        <v>0</v>
      </c>
      <c r="H19" s="99">
        <f t="shared" si="2"/>
        <v>0</v>
      </c>
      <c r="I19" s="101">
        <v>11</v>
      </c>
      <c r="J19" s="101">
        <v>2</v>
      </c>
      <c r="K19" s="101">
        <v>0</v>
      </c>
      <c r="L19" s="99">
        <f t="shared" si="0"/>
        <v>0</v>
      </c>
      <c r="M19" s="101">
        <v>11</v>
      </c>
      <c r="N19" s="101">
        <v>2</v>
      </c>
      <c r="O19" s="101">
        <v>0</v>
      </c>
      <c r="P19" s="99">
        <f t="shared" si="1"/>
        <v>0</v>
      </c>
    </row>
    <row r="20" spans="2:16" ht="15.75" thickBot="1">
      <c r="B20" s="1239"/>
      <c r="C20" s="89">
        <v>5</v>
      </c>
      <c r="D20" s="1064">
        <v>10</v>
      </c>
      <c r="E20" s="101">
        <v>9</v>
      </c>
      <c r="F20" s="101">
        <v>1</v>
      </c>
      <c r="G20" s="101">
        <v>0</v>
      </c>
      <c r="H20" s="99">
        <f t="shared" si="2"/>
        <v>0</v>
      </c>
      <c r="I20" s="101">
        <v>10</v>
      </c>
      <c r="J20" s="101">
        <v>0</v>
      </c>
      <c r="K20" s="101">
        <v>0</v>
      </c>
      <c r="L20" s="99">
        <f t="shared" si="0"/>
        <v>0</v>
      </c>
      <c r="M20" s="101">
        <v>10</v>
      </c>
      <c r="N20" s="101">
        <v>0</v>
      </c>
      <c r="O20" s="101">
        <v>0</v>
      </c>
      <c r="P20" s="99">
        <f t="shared" si="1"/>
        <v>0</v>
      </c>
    </row>
    <row r="21" spans="2:16" ht="17.25" thickBot="1">
      <c r="B21" s="95"/>
      <c r="C21" s="96" t="s">
        <v>0</v>
      </c>
      <c r="D21" s="98">
        <f>SUM(D18:D20)</f>
        <v>23</v>
      </c>
      <c r="E21" s="98">
        <f>SUM(E19:E20)</f>
        <v>22</v>
      </c>
      <c r="F21" s="98">
        <f>SUM(F19:F20)</f>
        <v>1</v>
      </c>
      <c r="G21" s="98">
        <v>0</v>
      </c>
      <c r="H21" s="632">
        <f t="shared" si="2"/>
        <v>0</v>
      </c>
      <c r="I21" s="102">
        <f>SUM(I19:I20)</f>
        <v>21</v>
      </c>
      <c r="J21" s="102">
        <f>SUM(J19:J20)</f>
        <v>2</v>
      </c>
      <c r="K21" s="102">
        <f>SUM(K19:K20)</f>
        <v>0</v>
      </c>
      <c r="L21" s="632">
        <f t="shared" si="0"/>
        <v>0</v>
      </c>
      <c r="M21" s="102">
        <f>SUM(M19:M20)</f>
        <v>21</v>
      </c>
      <c r="N21" s="102">
        <f>SUM(N19:N20)</f>
        <v>2</v>
      </c>
      <c r="O21" s="102">
        <f>SUM(O19:O20)</f>
        <v>0</v>
      </c>
      <c r="P21" s="632">
        <f t="shared" si="1"/>
        <v>0</v>
      </c>
    </row>
    <row r="22" spans="2:16" ht="15.75" thickBot="1">
      <c r="B22" s="1237">
        <v>5</v>
      </c>
      <c r="C22" s="89">
        <v>3</v>
      </c>
      <c r="D22" s="1065">
        <v>0</v>
      </c>
      <c r="E22" s="190">
        <v>0</v>
      </c>
      <c r="F22" s="190">
        <v>0</v>
      </c>
      <c r="G22" s="190">
        <v>0</v>
      </c>
      <c r="H22" s="99">
        <v>0</v>
      </c>
      <c r="I22" s="190">
        <v>0</v>
      </c>
      <c r="J22" s="190">
        <v>0</v>
      </c>
      <c r="K22" s="190">
        <v>0</v>
      </c>
      <c r="L22" s="99">
        <v>0</v>
      </c>
      <c r="M22" s="190">
        <v>0</v>
      </c>
      <c r="N22" s="190">
        <v>0</v>
      </c>
      <c r="O22" s="190">
        <v>0</v>
      </c>
      <c r="P22" s="99">
        <v>0</v>
      </c>
    </row>
    <row r="23" spans="2:16" ht="15.75" thickBot="1">
      <c r="B23" s="1238"/>
      <c r="C23" s="89">
        <v>4</v>
      </c>
      <c r="D23" s="1064">
        <v>9</v>
      </c>
      <c r="E23" s="101">
        <v>5</v>
      </c>
      <c r="F23" s="101">
        <v>3</v>
      </c>
      <c r="G23" s="101">
        <v>1</v>
      </c>
      <c r="H23" s="99">
        <f>G23/D23</f>
        <v>0.1111111111111111</v>
      </c>
      <c r="I23" s="101">
        <v>4</v>
      </c>
      <c r="J23" s="101">
        <v>1</v>
      </c>
      <c r="K23" s="101">
        <v>4</v>
      </c>
      <c r="L23" s="99">
        <f t="shared" si="0"/>
        <v>0.44444444444444442</v>
      </c>
      <c r="M23" s="101">
        <v>2</v>
      </c>
      <c r="N23" s="101">
        <v>6</v>
      </c>
      <c r="O23" s="101">
        <v>1</v>
      </c>
      <c r="P23" s="99">
        <f t="shared" si="1"/>
        <v>0.1111111111111111</v>
      </c>
    </row>
    <row r="24" spans="2:16" ht="15.75" thickBot="1">
      <c r="B24" s="1239"/>
      <c r="C24" s="89">
        <v>5</v>
      </c>
      <c r="D24" s="1064">
        <v>15</v>
      </c>
      <c r="E24" s="101">
        <v>15</v>
      </c>
      <c r="F24" s="101">
        <v>0</v>
      </c>
      <c r="G24" s="964">
        <v>0</v>
      </c>
      <c r="H24" s="99">
        <f t="shared" si="2"/>
        <v>0</v>
      </c>
      <c r="I24" s="101">
        <v>13</v>
      </c>
      <c r="J24" s="101">
        <v>1</v>
      </c>
      <c r="K24" s="101">
        <v>1</v>
      </c>
      <c r="L24" s="99">
        <f t="shared" si="0"/>
        <v>6.6666666666666666E-2</v>
      </c>
      <c r="M24" s="101">
        <v>11</v>
      </c>
      <c r="N24" s="101">
        <v>3</v>
      </c>
      <c r="O24" s="101">
        <v>1</v>
      </c>
      <c r="P24" s="99">
        <f t="shared" si="1"/>
        <v>6.6666666666666666E-2</v>
      </c>
    </row>
    <row r="25" spans="2:16" ht="17.25" thickBot="1">
      <c r="B25" s="95"/>
      <c r="C25" s="96" t="s">
        <v>0</v>
      </c>
      <c r="D25" s="98">
        <f>SUM(D22:D24)</f>
        <v>24</v>
      </c>
      <c r="E25" s="98">
        <f>SUM(E23:E24)</f>
        <v>20</v>
      </c>
      <c r="F25" s="98">
        <f>SUM(F23:F24)</f>
        <v>3</v>
      </c>
      <c r="G25" s="98">
        <f>SUM(G23:G24)</f>
        <v>1</v>
      </c>
      <c r="H25" s="632">
        <f t="shared" si="2"/>
        <v>4.1666666666666664E-2</v>
      </c>
      <c r="I25" s="102">
        <f>SUM(I22:I24)</f>
        <v>17</v>
      </c>
      <c r="J25" s="102">
        <f>SUM(J22:J24)</f>
        <v>2</v>
      </c>
      <c r="K25" s="102">
        <f>SUM(K22:K24)</f>
        <v>5</v>
      </c>
      <c r="L25" s="632">
        <f t="shared" si="0"/>
        <v>0.20833333333333334</v>
      </c>
      <c r="M25" s="102">
        <f>SUM(M22:M24)</f>
        <v>13</v>
      </c>
      <c r="N25" s="102">
        <f>SUM(N22:N24)</f>
        <v>9</v>
      </c>
      <c r="O25" s="102">
        <f>SUM(O22:O24)</f>
        <v>2</v>
      </c>
      <c r="P25" s="632">
        <f t="shared" si="1"/>
        <v>8.3333333333333329E-2</v>
      </c>
    </row>
    <row r="26" spans="2:16" ht="35.25" customHeight="1" thickBot="1">
      <c r="B26" s="1235" t="s">
        <v>113</v>
      </c>
      <c r="C26" s="1236"/>
      <c r="D26" s="97">
        <f>D9+D13+D17+D21+D25</f>
        <v>117</v>
      </c>
      <c r="E26" s="97">
        <f>E9+E13+E17+E21+E25</f>
        <v>105</v>
      </c>
      <c r="F26" s="97">
        <f>F9+F13+F17+F21+F25</f>
        <v>11</v>
      </c>
      <c r="G26" s="97">
        <f>G9+G13+G17+G21+G25</f>
        <v>1</v>
      </c>
      <c r="H26" s="100">
        <f>G26/D26</f>
        <v>8.5470085470085479E-3</v>
      </c>
      <c r="I26" s="97">
        <f>I9+I13+I17+I21+I25</f>
        <v>100</v>
      </c>
      <c r="J26" s="97">
        <f>J9+J13+J17+J21+J25</f>
        <v>11</v>
      </c>
      <c r="K26" s="97">
        <f>K9+K13+K17+K21+K25</f>
        <v>6</v>
      </c>
      <c r="L26" s="100">
        <f>K26/D26</f>
        <v>5.128205128205128E-2</v>
      </c>
      <c r="M26" s="97">
        <f>M9+M13+M17+M21+M25</f>
        <v>91</v>
      </c>
      <c r="N26" s="97">
        <f>N9+N13+N17+N21+N25</f>
        <v>23</v>
      </c>
      <c r="O26" s="97">
        <f>O9+O13+O17+O21+O25</f>
        <v>3</v>
      </c>
      <c r="P26" s="100">
        <f>O26/D26</f>
        <v>2.564102564102564E-2</v>
      </c>
    </row>
    <row r="27" spans="2:16">
      <c r="B27" s="2"/>
    </row>
    <row r="28" spans="2:16">
      <c r="D28" s="2"/>
    </row>
    <row r="29" spans="2:16">
      <c r="D29" s="1066"/>
    </row>
    <row r="30" spans="2:16">
      <c r="D30" s="2"/>
    </row>
    <row r="31" spans="2:16">
      <c r="D31" s="2"/>
    </row>
  </sheetData>
  <mergeCells count="14">
    <mergeCell ref="E3:H4"/>
    <mergeCell ref="I3:L4"/>
    <mergeCell ref="O2:P2"/>
    <mergeCell ref="B1:P1"/>
    <mergeCell ref="B26:C26"/>
    <mergeCell ref="B14:B16"/>
    <mergeCell ref="B18:B20"/>
    <mergeCell ref="B22:B24"/>
    <mergeCell ref="M3:P4"/>
    <mergeCell ref="B6:B8"/>
    <mergeCell ref="B10:B12"/>
    <mergeCell ref="B3:B5"/>
    <mergeCell ref="C3:C5"/>
    <mergeCell ref="D3:D5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useFirstPageNumber="1" r:id="rId1"/>
  <headerFooter>
    <oddHeader>&amp;L&amp;"Trebuchet MS,Negrito"&amp;12&amp;K01+015AGRUPAMENTO DE ESCOLAS MIGUEL TORGA&amp;C
&amp;R&amp;"Trebuchet MS,Negrito itálico"&amp;12AUTOAVALIAÇÃO
3ºPeríodo  2012/13
Tabela I</oddHeader>
    <oddFooter>&amp;C
&amp;G&amp;R2</oddFooter>
  </headerFooter>
  <rowBreaks count="1" manualBreakCount="1">
    <brk id="39" max="16383" man="1"/>
  </rowBreaks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20"/>
  <sheetViews>
    <sheetView showGridLines="0" workbookViewId="0">
      <selection activeCell="I21" sqref="I21"/>
    </sheetView>
  </sheetViews>
  <sheetFormatPr defaultRowHeight="12.75"/>
  <cols>
    <col min="1" max="1" width="16.7109375" customWidth="1"/>
    <col min="2" max="2" width="9.85546875" customWidth="1"/>
    <col min="3" max="3" width="13.5703125" customWidth="1"/>
    <col min="4" max="4" width="11.140625" customWidth="1"/>
    <col min="5" max="5" width="13.28515625" customWidth="1"/>
    <col min="6" max="6" width="12.28515625" customWidth="1"/>
    <col min="7" max="7" width="14.140625" customWidth="1"/>
    <col min="8" max="9" width="11.28515625" customWidth="1"/>
    <col min="10" max="10" width="13.28515625" customWidth="1"/>
    <col min="11" max="11" width="10.7109375" customWidth="1"/>
    <col min="12" max="12" width="11" customWidth="1"/>
  </cols>
  <sheetData>
    <row r="1" spans="1:12" ht="80.25" customHeight="1" thickBot="1">
      <c r="C1" s="1448" t="s">
        <v>456</v>
      </c>
      <c r="D1" s="1448"/>
      <c r="E1" s="1446" t="s">
        <v>159</v>
      </c>
      <c r="F1" s="1447"/>
      <c r="G1" s="1446" t="s">
        <v>160</v>
      </c>
      <c r="H1" s="1447"/>
      <c r="I1" s="1444" t="s">
        <v>462</v>
      </c>
      <c r="J1" s="1449" t="s">
        <v>405</v>
      </c>
      <c r="K1" s="1450"/>
      <c r="L1" s="1444" t="s">
        <v>462</v>
      </c>
    </row>
    <row r="2" spans="1:12" ht="30.75" thickBot="1">
      <c r="A2" s="561" t="s">
        <v>358</v>
      </c>
      <c r="B2" s="560" t="s">
        <v>458</v>
      </c>
      <c r="C2" s="268" t="s">
        <v>13</v>
      </c>
      <c r="D2" s="268" t="s">
        <v>147</v>
      </c>
      <c r="E2" s="268" t="s">
        <v>13</v>
      </c>
      <c r="F2" s="268" t="s">
        <v>147</v>
      </c>
      <c r="G2" s="268" t="s">
        <v>13</v>
      </c>
      <c r="H2" s="268" t="s">
        <v>147</v>
      </c>
      <c r="I2" s="1445"/>
      <c r="J2" s="268" t="s">
        <v>13</v>
      </c>
      <c r="K2" s="268" t="s">
        <v>147</v>
      </c>
      <c r="L2" s="1445"/>
    </row>
    <row r="3" spans="1:12" ht="15.75" thickBot="1">
      <c r="A3" s="520" t="s">
        <v>366</v>
      </c>
      <c r="B3" s="525">
        <f>'XII-RESUMO'!C7</f>
        <v>0</v>
      </c>
      <c r="C3" s="117">
        <v>0</v>
      </c>
      <c r="D3" s="123" t="e">
        <f t="shared" ref="D3:D16" si="0">C3/B3</f>
        <v>#DIV/0!</v>
      </c>
      <c r="E3" s="117">
        <v>0</v>
      </c>
      <c r="F3" s="123" t="e">
        <f>E3/'XII-RESUMO'!C7</f>
        <v>#DIV/0!</v>
      </c>
      <c r="G3" s="117">
        <v>0</v>
      </c>
      <c r="H3" s="338" t="e">
        <f t="shared" ref="H3:H16" si="1">G3/B3</f>
        <v>#DIV/0!</v>
      </c>
      <c r="I3" s="112"/>
      <c r="J3" s="326">
        <v>0</v>
      </c>
      <c r="K3" s="123">
        <v>0</v>
      </c>
      <c r="L3" s="112"/>
    </row>
    <row r="4" spans="1:12" ht="15.75" thickBot="1">
      <c r="A4" s="520" t="s">
        <v>353</v>
      </c>
      <c r="B4" s="525">
        <f>'XII-RESUMO'!C8</f>
        <v>0</v>
      </c>
      <c r="C4" s="117">
        <v>0</v>
      </c>
      <c r="D4" s="123" t="e">
        <f t="shared" si="0"/>
        <v>#DIV/0!</v>
      </c>
      <c r="E4" s="117">
        <v>0</v>
      </c>
      <c r="F4" s="123" t="e">
        <f>E4/'XII-RESUMO'!C8</f>
        <v>#DIV/0!</v>
      </c>
      <c r="G4" s="117">
        <v>1</v>
      </c>
      <c r="H4" s="338" t="e">
        <f t="shared" si="1"/>
        <v>#DIV/0!</v>
      </c>
      <c r="I4" s="112"/>
      <c r="J4" s="326">
        <v>1</v>
      </c>
      <c r="K4" s="123">
        <f>J4/G4</f>
        <v>1</v>
      </c>
      <c r="L4" s="112"/>
    </row>
    <row r="5" spans="1:12" ht="15.75" thickBot="1">
      <c r="A5" s="520" t="s">
        <v>354</v>
      </c>
      <c r="B5" s="525">
        <f>'XII-RESUMO'!C9</f>
        <v>0</v>
      </c>
      <c r="C5" s="117">
        <v>0</v>
      </c>
      <c r="D5" s="123" t="e">
        <f t="shared" si="0"/>
        <v>#DIV/0!</v>
      </c>
      <c r="E5" s="117">
        <v>0</v>
      </c>
      <c r="F5" s="123" t="e">
        <f>E5/'XII-RESUMO'!C9</f>
        <v>#DIV/0!</v>
      </c>
      <c r="G5" s="117">
        <v>0</v>
      </c>
      <c r="H5" s="338" t="e">
        <f t="shared" si="1"/>
        <v>#DIV/0!</v>
      </c>
      <c r="I5" s="112"/>
      <c r="J5" s="326">
        <v>0</v>
      </c>
      <c r="K5" s="123">
        <v>0</v>
      </c>
      <c r="L5" s="112"/>
    </row>
    <row r="6" spans="1:12" ht="15.75" thickBot="1">
      <c r="A6" s="520" t="s">
        <v>355</v>
      </c>
      <c r="B6" s="525">
        <f>'XII-RESUMO'!C10</f>
        <v>0</v>
      </c>
      <c r="C6" s="117">
        <v>0</v>
      </c>
      <c r="D6" s="123" t="e">
        <f t="shared" si="0"/>
        <v>#DIV/0!</v>
      </c>
      <c r="E6" s="117">
        <v>0</v>
      </c>
      <c r="F6" s="123" t="e">
        <f>E6/'XII-RESUMO'!C10</f>
        <v>#DIV/0!</v>
      </c>
      <c r="G6" s="117">
        <v>0</v>
      </c>
      <c r="H6" s="338" t="e">
        <f t="shared" si="1"/>
        <v>#DIV/0!</v>
      </c>
      <c r="I6" s="112"/>
      <c r="J6" s="326">
        <v>0</v>
      </c>
      <c r="K6" s="123">
        <v>0</v>
      </c>
      <c r="L6" s="112"/>
    </row>
    <row r="7" spans="1:12" ht="18.75" thickBot="1">
      <c r="A7" s="562" t="s">
        <v>152</v>
      </c>
      <c r="B7" s="431">
        <f>SUM(B3:B6)</f>
        <v>0</v>
      </c>
      <c r="C7" s="431">
        <f>SUM(C3:C6)</f>
        <v>0</v>
      </c>
      <c r="D7" s="530" t="e">
        <f>C7/B7</f>
        <v>#DIV/0!</v>
      </c>
      <c r="E7" s="431">
        <f>SUM(E3:E6)</f>
        <v>0</v>
      </c>
      <c r="F7" s="530" t="e">
        <f>E7/'XII-RESUMO'!C11</f>
        <v>#DIV/0!</v>
      </c>
      <c r="G7" s="431">
        <f>SUM(G3:G6)</f>
        <v>1</v>
      </c>
      <c r="H7" s="530" t="e">
        <f t="shared" si="1"/>
        <v>#DIV/0!</v>
      </c>
      <c r="I7" s="537"/>
      <c r="J7" s="431">
        <f>SUM(J3:J6)</f>
        <v>1</v>
      </c>
      <c r="K7" s="530">
        <f t="shared" ref="K7:K16" si="2">J7/G7</f>
        <v>1</v>
      </c>
      <c r="L7" s="537"/>
    </row>
    <row r="8" spans="1:12" ht="21.75" customHeight="1" thickBot="1">
      <c r="A8" s="520" t="s">
        <v>1</v>
      </c>
      <c r="B8" s="525">
        <f>'VI-5º ANO'!B17</f>
        <v>126</v>
      </c>
      <c r="C8" s="117">
        <f>11+5+1</f>
        <v>17</v>
      </c>
      <c r="D8" s="123">
        <f t="shared" si="0"/>
        <v>0.13492063492063491</v>
      </c>
      <c r="E8" s="117" t="e">
        <f>'VI-5º ANO'!#REF!</f>
        <v>#REF!</v>
      </c>
      <c r="F8" s="123" t="e">
        <f>E8/'XII-RESUMO'!C12</f>
        <v>#REF!</v>
      </c>
      <c r="G8" s="117" t="e">
        <f>'VI-5º ANO'!#REF!</f>
        <v>#REF!</v>
      </c>
      <c r="H8" s="338" t="e">
        <f t="shared" si="1"/>
        <v>#REF!</v>
      </c>
      <c r="I8" s="112"/>
      <c r="J8" s="326" t="e">
        <f>'VI-5º ANO'!#REF!</f>
        <v>#REF!</v>
      </c>
      <c r="K8" s="123" t="e">
        <f>J8/G8</f>
        <v>#REF!</v>
      </c>
      <c r="L8" s="112"/>
    </row>
    <row r="9" spans="1:12" ht="15.75" thickBot="1">
      <c r="A9" s="520" t="s">
        <v>2</v>
      </c>
      <c r="B9" s="525">
        <f>'VII-6º ANO'!B16</f>
        <v>130</v>
      </c>
      <c r="C9" s="117">
        <f>3+2+8+1</f>
        <v>14</v>
      </c>
      <c r="D9" s="123">
        <f t="shared" si="0"/>
        <v>0.1076923076923077</v>
      </c>
      <c r="E9" s="117" t="e">
        <f>'VII-6º ANO'!#REF!</f>
        <v>#REF!</v>
      </c>
      <c r="F9" s="123" t="e">
        <f>E9/'XII-RESUMO'!C13</f>
        <v>#REF!</v>
      </c>
      <c r="G9" s="117" t="e">
        <f>'VII-6º ANO'!#REF!</f>
        <v>#REF!</v>
      </c>
      <c r="H9" s="338" t="e">
        <f t="shared" si="1"/>
        <v>#REF!</v>
      </c>
      <c r="I9" s="112"/>
      <c r="J9" s="326">
        <v>6</v>
      </c>
      <c r="K9" s="123" t="e">
        <f t="shared" si="2"/>
        <v>#REF!</v>
      </c>
      <c r="L9" s="112"/>
    </row>
    <row r="10" spans="1:12" ht="18.75" thickBot="1">
      <c r="A10" s="562" t="s">
        <v>154</v>
      </c>
      <c r="B10" s="431">
        <f>SUM(B8:B9)</f>
        <v>256</v>
      </c>
      <c r="C10" s="431">
        <f>SUM(C8:C9)</f>
        <v>31</v>
      </c>
      <c r="D10" s="530">
        <f>C10/B10</f>
        <v>0.12109375</v>
      </c>
      <c r="E10" s="431" t="e">
        <f>SUM(E8:E9)</f>
        <v>#REF!</v>
      </c>
      <c r="F10" s="530" t="e">
        <f>E10/'XII-RESUMO'!C14</f>
        <v>#REF!</v>
      </c>
      <c r="G10" s="431" t="e">
        <f>SUM(G8:G9)</f>
        <v>#REF!</v>
      </c>
      <c r="H10" s="539" t="e">
        <f t="shared" si="1"/>
        <v>#REF!</v>
      </c>
      <c r="I10" s="541"/>
      <c r="J10" s="540" t="e">
        <f>SUM(J8:J9)</f>
        <v>#REF!</v>
      </c>
      <c r="K10" s="530" t="e">
        <f t="shared" si="2"/>
        <v>#REF!</v>
      </c>
      <c r="L10" s="541"/>
    </row>
    <row r="11" spans="1:12" ht="15.75" thickBot="1">
      <c r="A11" s="520" t="s">
        <v>3</v>
      </c>
      <c r="B11" s="525">
        <f>'VIII-7º ANO'!B17</f>
        <v>126</v>
      </c>
      <c r="C11" s="117">
        <f>2+4+9+8+8+9</f>
        <v>40</v>
      </c>
      <c r="D11" s="123">
        <f t="shared" si="0"/>
        <v>0.31746031746031744</v>
      </c>
      <c r="E11" s="117" t="e">
        <f>'VIII-7º ANO'!#REF!</f>
        <v>#REF!</v>
      </c>
      <c r="F11" s="123" t="e">
        <f>E11/'XII-RESUMO'!C15</f>
        <v>#REF!</v>
      </c>
      <c r="G11" s="117" t="e">
        <f>'VIII-7º ANO'!#REF!</f>
        <v>#REF!</v>
      </c>
      <c r="H11" s="338" t="e">
        <f t="shared" si="1"/>
        <v>#REF!</v>
      </c>
      <c r="I11" s="112"/>
      <c r="J11" s="326" t="e">
        <f>'VIII-7º ANO'!#REF!</f>
        <v>#REF!</v>
      </c>
      <c r="K11" s="123" t="e">
        <f t="shared" si="2"/>
        <v>#REF!</v>
      </c>
      <c r="L11" s="112"/>
    </row>
    <row r="12" spans="1:12" ht="15.75" thickBot="1">
      <c r="A12" s="520" t="s">
        <v>4</v>
      </c>
      <c r="B12" s="525">
        <f>'IX-8º ANO'!B15</f>
        <v>110</v>
      </c>
      <c r="C12" s="117">
        <f>0+0+2+0+3</f>
        <v>5</v>
      </c>
      <c r="D12" s="123">
        <f t="shared" si="0"/>
        <v>4.5454545454545456E-2</v>
      </c>
      <c r="E12" s="117" t="e">
        <f>'IX-8º ANO'!#REF!</f>
        <v>#REF!</v>
      </c>
      <c r="F12" s="123" t="e">
        <f>E12/'XII-RESUMO'!C16</f>
        <v>#REF!</v>
      </c>
      <c r="G12" s="117" t="e">
        <f>'IX-8º ANO'!#REF!</f>
        <v>#REF!</v>
      </c>
      <c r="H12" s="338" t="e">
        <f t="shared" si="1"/>
        <v>#REF!</v>
      </c>
      <c r="I12" s="112"/>
      <c r="J12" s="326" t="e">
        <f>'IX-8º ANO'!#REF!</f>
        <v>#REF!</v>
      </c>
      <c r="K12" s="123" t="e">
        <f t="shared" si="2"/>
        <v>#REF!</v>
      </c>
      <c r="L12" s="112"/>
    </row>
    <row r="13" spans="1:12" ht="15.75" thickBot="1">
      <c r="A13" s="520" t="s">
        <v>5</v>
      </c>
      <c r="B13" s="525">
        <f>'X-9º ANO'!B13</f>
        <v>86</v>
      </c>
      <c r="C13" s="117">
        <f>7+1+1+3</f>
        <v>12</v>
      </c>
      <c r="D13" s="123">
        <f t="shared" si="0"/>
        <v>0.13953488372093023</v>
      </c>
      <c r="E13" s="117" t="e">
        <f>'X-9º ANO'!#REF!</f>
        <v>#REF!</v>
      </c>
      <c r="F13" s="123" t="e">
        <f>E13/'XII-RESUMO'!C17</f>
        <v>#REF!</v>
      </c>
      <c r="G13" s="117" t="e">
        <f>'X-9º ANO'!#REF!</f>
        <v>#REF!</v>
      </c>
      <c r="H13" s="338" t="e">
        <f t="shared" si="1"/>
        <v>#REF!</v>
      </c>
      <c r="I13" s="112"/>
      <c r="J13" s="326">
        <v>3</v>
      </c>
      <c r="K13" s="123" t="e">
        <f t="shared" si="2"/>
        <v>#REF!</v>
      </c>
      <c r="L13" s="112"/>
    </row>
    <row r="14" spans="1:12" ht="18.75" thickBot="1">
      <c r="A14" s="491" t="s">
        <v>157</v>
      </c>
      <c r="B14" s="532">
        <f>SUM(B11:B13)</f>
        <v>322</v>
      </c>
      <c r="C14" s="431">
        <f>SUM(C11:C13)</f>
        <v>57</v>
      </c>
      <c r="D14" s="530">
        <f t="shared" si="0"/>
        <v>0.17701863354037267</v>
      </c>
      <c r="E14" s="431">
        <v>0</v>
      </c>
      <c r="F14" s="530" t="e">
        <f>E14/'XII-RESUMO'!C19</f>
        <v>#DIV/0!</v>
      </c>
      <c r="G14" s="431" t="e">
        <f>SUM(G11:G13)</f>
        <v>#REF!</v>
      </c>
      <c r="H14" s="539" t="e">
        <f t="shared" si="1"/>
        <v>#REF!</v>
      </c>
      <c r="I14" s="541"/>
      <c r="J14" s="540" t="e">
        <f>SUM(J11:J13)</f>
        <v>#REF!</v>
      </c>
      <c r="K14" s="530" t="e">
        <f t="shared" si="2"/>
        <v>#REF!</v>
      </c>
      <c r="L14" s="541"/>
    </row>
    <row r="15" spans="1:12" ht="15.75" thickBot="1">
      <c r="A15" s="520" t="s">
        <v>211</v>
      </c>
      <c r="B15" s="525">
        <f>'XI-CEF''S'!B12</f>
        <v>59</v>
      </c>
      <c r="C15" s="199">
        <v>10</v>
      </c>
      <c r="D15" s="123">
        <f>C15/B15</f>
        <v>0.16949152542372881</v>
      </c>
      <c r="E15" s="199">
        <v>6</v>
      </c>
      <c r="F15" s="123" t="e">
        <f>E15/('XII-RESUMO'!C15+'XII-RESUMO'!C16+'XII-RESUMO'!C17)</f>
        <v>#DIV/0!</v>
      </c>
      <c r="G15" s="199">
        <v>9</v>
      </c>
      <c r="H15" s="338">
        <f t="shared" si="1"/>
        <v>0.15254237288135594</v>
      </c>
      <c r="I15" s="112"/>
      <c r="J15" s="199">
        <v>9</v>
      </c>
      <c r="K15" s="123">
        <f t="shared" si="2"/>
        <v>1</v>
      </c>
      <c r="L15" s="112"/>
    </row>
    <row r="16" spans="1:12" ht="36.75" customHeight="1" thickBot="1">
      <c r="A16" s="492" t="s">
        <v>367</v>
      </c>
      <c r="B16" s="533">
        <f>B10+B7+B14+B15</f>
        <v>637</v>
      </c>
      <c r="C16" s="533">
        <f>C10+C7+C14+C15</f>
        <v>98</v>
      </c>
      <c r="D16" s="531">
        <f t="shared" si="0"/>
        <v>0.15384615384615385</v>
      </c>
      <c r="E16" s="533" t="e">
        <f>E7+E10+E15</f>
        <v>#REF!</v>
      </c>
      <c r="F16" s="531" t="e">
        <f>(E7+E10+E15)/('XII-RESUMO'!C11+'XII-RESUMO'!C14+'XII-RESUMO'!C15+'XII-RESUMO'!C16+'XII-RESUMO'!C17)</f>
        <v>#REF!</v>
      </c>
      <c r="G16" s="533" t="e">
        <f>G10+G7+G14+G15</f>
        <v>#REF!</v>
      </c>
      <c r="H16" s="531" t="e">
        <f t="shared" si="1"/>
        <v>#REF!</v>
      </c>
      <c r="I16" s="538"/>
      <c r="J16" s="533" t="e">
        <f>J10+J7+J14+J15</f>
        <v>#REF!</v>
      </c>
      <c r="K16" s="531" t="e">
        <f t="shared" si="2"/>
        <v>#REF!</v>
      </c>
      <c r="L16" s="538"/>
    </row>
    <row r="20" spans="4:5">
      <c r="D20" s="55"/>
      <c r="E20" s="55"/>
    </row>
  </sheetData>
  <mergeCells count="6">
    <mergeCell ref="L1:L2"/>
    <mergeCell ref="E1:F1"/>
    <mergeCell ref="C1:D1"/>
    <mergeCell ref="G1:H1"/>
    <mergeCell ref="J1:K1"/>
    <mergeCell ref="I1:I2"/>
  </mergeCells>
  <phoneticPr fontId="0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Y24"/>
  <sheetViews>
    <sheetView zoomScale="84" zoomScaleNormal="84" zoomScaleSheetLayoutView="50" workbookViewId="0">
      <selection activeCell="U15" sqref="U15"/>
    </sheetView>
  </sheetViews>
  <sheetFormatPr defaultRowHeight="12.75"/>
  <cols>
    <col min="1" max="1" width="6.7109375" customWidth="1"/>
    <col min="2" max="2" width="4.85546875" customWidth="1"/>
    <col min="3" max="3" width="6.7109375" customWidth="1"/>
    <col min="4" max="4" width="3.42578125" customWidth="1"/>
    <col min="5" max="5" width="9.85546875" customWidth="1"/>
    <col min="6" max="6" width="8.85546875" customWidth="1"/>
    <col min="7" max="7" width="9.7109375" customWidth="1"/>
    <col min="8" max="8" width="8.5703125" customWidth="1"/>
    <col min="9" max="9" width="9.28515625" customWidth="1"/>
    <col min="10" max="10" width="8.7109375" customWidth="1"/>
    <col min="11" max="11" width="9.5703125" customWidth="1"/>
    <col min="12" max="12" width="8.5703125" customWidth="1"/>
    <col min="13" max="13" width="9.28515625" customWidth="1"/>
    <col min="14" max="14" width="9" customWidth="1"/>
    <col min="15" max="17" width="6.7109375" customWidth="1"/>
    <col min="18" max="22" width="6.7109375" style="191" customWidth="1"/>
    <col min="23" max="25" width="9.140625" style="191"/>
    <col min="27" max="27" width="11.140625" customWidth="1"/>
    <col min="28" max="28" width="7.42578125" customWidth="1"/>
    <col min="29" max="29" width="7.7109375" customWidth="1"/>
    <col min="30" max="30" width="12.42578125" customWidth="1"/>
    <col min="33" max="33" width="13" customWidth="1"/>
    <col min="36" max="36" width="13.28515625" customWidth="1"/>
    <col min="39" max="39" width="12.28515625" customWidth="1"/>
  </cols>
  <sheetData>
    <row r="1" spans="1:25" ht="13.5" customHeight="1">
      <c r="J1" s="191"/>
      <c r="P1" s="191"/>
      <c r="Q1" s="191"/>
      <c r="R1"/>
      <c r="S1"/>
      <c r="T1"/>
      <c r="U1"/>
      <c r="V1"/>
      <c r="W1"/>
      <c r="X1"/>
      <c r="Y1"/>
    </row>
    <row r="2" spans="1:25" ht="26.25" customHeight="1">
      <c r="A2" s="949"/>
      <c r="B2" s="949"/>
      <c r="C2" s="949"/>
      <c r="D2" s="949"/>
      <c r="E2" s="949"/>
      <c r="F2" s="949"/>
      <c r="G2" s="949"/>
      <c r="H2" s="949"/>
      <c r="I2" s="949"/>
      <c r="J2" s="949"/>
      <c r="K2" s="949"/>
      <c r="L2" s="949"/>
      <c r="M2" s="949"/>
      <c r="N2" s="949"/>
      <c r="P2" s="191"/>
      <c r="Q2" s="191"/>
      <c r="R2"/>
      <c r="S2"/>
      <c r="T2"/>
      <c r="U2"/>
      <c r="V2"/>
      <c r="W2"/>
      <c r="X2"/>
      <c r="Y2"/>
    </row>
    <row r="3" spans="1:25" ht="30" customHeight="1">
      <c r="A3" s="1451" t="s">
        <v>575</v>
      </c>
      <c r="B3" s="1451"/>
      <c r="C3" s="1451"/>
      <c r="D3" s="1451"/>
      <c r="E3" s="1451"/>
      <c r="F3" s="1451"/>
      <c r="G3" s="1451"/>
      <c r="H3" s="1451"/>
      <c r="I3" s="1451"/>
      <c r="J3" s="1451"/>
      <c r="K3" s="1451"/>
      <c r="L3" s="1451"/>
      <c r="M3" s="1451"/>
      <c r="N3" s="1451"/>
      <c r="O3" s="884"/>
      <c r="P3" s="191"/>
      <c r="Q3" s="191"/>
      <c r="R3"/>
      <c r="S3"/>
      <c r="T3"/>
      <c r="U3"/>
      <c r="V3"/>
      <c r="W3"/>
      <c r="X3"/>
      <c r="Y3"/>
    </row>
    <row r="4" spans="1:25">
      <c r="J4" s="191"/>
      <c r="P4" s="191"/>
      <c r="Q4" s="191"/>
      <c r="R4"/>
      <c r="S4"/>
      <c r="T4"/>
      <c r="U4"/>
      <c r="V4"/>
      <c r="W4"/>
      <c r="X4"/>
      <c r="Y4"/>
    </row>
    <row r="5" spans="1:25" ht="13.5" thickBot="1">
      <c r="J5" s="191"/>
      <c r="M5" s="929"/>
      <c r="N5" s="688"/>
      <c r="O5" s="930"/>
      <c r="R5"/>
      <c r="S5"/>
      <c r="T5"/>
      <c r="U5"/>
      <c r="V5"/>
      <c r="W5"/>
      <c r="X5"/>
      <c r="Y5"/>
    </row>
    <row r="6" spans="1:25" ht="42.75" customHeight="1" thickTop="1" thickBot="1">
      <c r="C6" s="747"/>
      <c r="D6" s="746"/>
      <c r="E6" s="1468" t="s">
        <v>570</v>
      </c>
      <c r="F6" s="1469"/>
      <c r="G6" s="1470" t="s">
        <v>573</v>
      </c>
      <c r="H6" s="1471"/>
      <c r="I6" s="1472" t="s">
        <v>159</v>
      </c>
      <c r="J6" s="1473"/>
      <c r="K6" s="1474" t="s">
        <v>572</v>
      </c>
      <c r="L6" s="1475"/>
      <c r="M6" s="1452" t="s">
        <v>571</v>
      </c>
      <c r="N6" s="1453"/>
      <c r="O6" s="938"/>
      <c r="P6" s="15"/>
      <c r="Q6" s="15"/>
      <c r="R6"/>
      <c r="S6"/>
      <c r="T6"/>
      <c r="U6"/>
      <c r="V6"/>
      <c r="W6"/>
      <c r="X6"/>
      <c r="Y6"/>
    </row>
    <row r="7" spans="1:25" ht="59.25" customHeight="1" thickBot="1">
      <c r="A7" s="1418"/>
      <c r="B7" s="1418"/>
      <c r="C7" s="1476" t="s">
        <v>510</v>
      </c>
      <c r="D7" s="1477"/>
      <c r="E7" s="934" t="s">
        <v>574</v>
      </c>
      <c r="F7" s="935" t="s">
        <v>327</v>
      </c>
      <c r="G7" s="753" t="s">
        <v>574</v>
      </c>
      <c r="H7" s="754" t="s">
        <v>327</v>
      </c>
      <c r="I7" s="936" t="s">
        <v>574</v>
      </c>
      <c r="J7" s="937" t="s">
        <v>327</v>
      </c>
      <c r="K7" s="942" t="s">
        <v>574</v>
      </c>
      <c r="L7" s="943" t="s">
        <v>327</v>
      </c>
      <c r="M7" s="944" t="s">
        <v>574</v>
      </c>
      <c r="N7" s="945" t="s">
        <v>327</v>
      </c>
      <c r="O7" s="939"/>
      <c r="P7" s="15"/>
      <c r="Q7" s="15"/>
      <c r="X7"/>
      <c r="Y7"/>
    </row>
    <row r="8" spans="1:25" ht="21.75" customHeight="1" thickBot="1">
      <c r="A8" s="1458" t="s">
        <v>116</v>
      </c>
      <c r="B8" s="1459"/>
      <c r="C8" s="1460">
        <f>'II-1º ANO'!B11+'II-1º ANO'!B31</f>
        <v>102</v>
      </c>
      <c r="D8" s="1461"/>
      <c r="E8" s="1119">
        <f>'II-1º ANO'!H18+'II-1º ANO'!H39</f>
        <v>29</v>
      </c>
      <c r="F8" s="1047">
        <f>E8/C8</f>
        <v>0.28431372549019607</v>
      </c>
      <c r="G8" s="1119">
        <f>'II-1º ANO'!B18+'II-1º ANO'!B39</f>
        <v>0</v>
      </c>
      <c r="H8" s="1047">
        <f>G8/C8</f>
        <v>0</v>
      </c>
      <c r="I8" s="1119">
        <f>'II-1º ANO'!E18+'II-1º ANO'!E39</f>
        <v>0</v>
      </c>
      <c r="J8" s="1049">
        <f>I8/C8</f>
        <v>0</v>
      </c>
      <c r="K8" s="1119">
        <f>'II-1º ANO'!K18+'II-1º ANO'!K39</f>
        <v>73</v>
      </c>
      <c r="L8" s="1052">
        <f>K8/C8</f>
        <v>0.71568627450980393</v>
      </c>
      <c r="M8" s="1045">
        <v>54</v>
      </c>
      <c r="N8" s="1052">
        <f>M8/C8</f>
        <v>0.52941176470588236</v>
      </c>
      <c r="O8" s="940"/>
      <c r="P8" s="15"/>
      <c r="Q8" s="15"/>
      <c r="X8"/>
      <c r="Y8"/>
    </row>
    <row r="9" spans="1:25" ht="21.75" customHeight="1" thickBot="1">
      <c r="A9" s="1458" t="s">
        <v>114</v>
      </c>
      <c r="B9" s="1459"/>
      <c r="C9" s="1460">
        <f>'III-2º ANO'!B12+'III-2º ANO'!B34</f>
        <v>126</v>
      </c>
      <c r="D9" s="1461"/>
      <c r="E9" s="1119">
        <f>'III-2º ANO'!H21+'III-2º ANO'!H43</f>
        <v>49</v>
      </c>
      <c r="F9" s="1047">
        <f t="shared" ref="F9:F19" si="0">E9/C9</f>
        <v>0.3888888888888889</v>
      </c>
      <c r="G9" s="1119">
        <f>'III-2º ANO'!B21+'III-2º ANO'!B43</f>
        <v>0</v>
      </c>
      <c r="H9" s="1047">
        <f t="shared" ref="H9:H11" si="1">G9/C9</f>
        <v>0</v>
      </c>
      <c r="I9" s="1119">
        <f>'III-2º ANO'!E21+'III-2º ANO'!E43</f>
        <v>0</v>
      </c>
      <c r="J9" s="1049">
        <f t="shared" ref="J9:J21" si="2">I9/C9</f>
        <v>0</v>
      </c>
      <c r="K9" s="1119">
        <f>'III-2º ANO'!K21+'III-2º ANO'!K43</f>
        <v>78</v>
      </c>
      <c r="L9" s="1052">
        <f t="shared" ref="L9:L12" si="3">K9/C9</f>
        <v>0.61904761904761907</v>
      </c>
      <c r="M9" s="1045">
        <v>33</v>
      </c>
      <c r="N9" s="1052">
        <f t="shared" ref="N9:N21" si="4">M9/C9</f>
        <v>0.26190476190476192</v>
      </c>
      <c r="O9" s="940"/>
      <c r="P9" s="15"/>
      <c r="Q9" s="15"/>
    </row>
    <row r="10" spans="1:25" ht="21.75" customHeight="1" thickBot="1">
      <c r="A10" s="1458" t="s">
        <v>115</v>
      </c>
      <c r="B10" s="1459"/>
      <c r="C10" s="1460">
        <f>'IV-3º ANO'!B12+'IV-3º ANO'!B35</f>
        <v>131</v>
      </c>
      <c r="D10" s="1461"/>
      <c r="E10" s="1119">
        <f>'IV-3º ANO'!H21+'IV-3º ANO'!H44</f>
        <v>14</v>
      </c>
      <c r="F10" s="1047">
        <f t="shared" si="0"/>
        <v>0.10687022900763359</v>
      </c>
      <c r="G10" s="1119">
        <f>'IV-3º ANO'!B21+'IV-3º ANO'!B44</f>
        <v>2</v>
      </c>
      <c r="H10" s="1047">
        <f t="shared" si="1"/>
        <v>1.5267175572519083E-2</v>
      </c>
      <c r="I10" s="1119">
        <f>'IV-3º ANO'!E21+'IV-3º ANO'!E44</f>
        <v>0</v>
      </c>
      <c r="J10" s="1049">
        <f t="shared" si="2"/>
        <v>0</v>
      </c>
      <c r="K10" s="1119">
        <f>'IV-3º ANO'!K21+'IV-3º ANO'!K44</f>
        <v>103</v>
      </c>
      <c r="L10" s="1052">
        <f t="shared" si="3"/>
        <v>0.7862595419847328</v>
      </c>
      <c r="M10" s="1045">
        <v>113</v>
      </c>
      <c r="N10" s="1052">
        <f t="shared" si="4"/>
        <v>0.86259541984732824</v>
      </c>
      <c r="O10" s="940"/>
      <c r="P10" s="15"/>
      <c r="Q10" s="15"/>
    </row>
    <row r="11" spans="1:25" ht="18" customHeight="1" thickBot="1">
      <c r="A11" s="1458" t="s">
        <v>117</v>
      </c>
      <c r="B11" s="1459"/>
      <c r="C11" s="1460">
        <f>'V-4º ANO'!B12+'V-4º ANO'!B36</f>
        <v>138</v>
      </c>
      <c r="D11" s="1461"/>
      <c r="E11" s="1119">
        <f>'V-4º ANO'!H21+'V-4º ANO'!K45</f>
        <v>20</v>
      </c>
      <c r="F11" s="1047">
        <f t="shared" si="0"/>
        <v>0.14492753623188406</v>
      </c>
      <c r="G11" s="1119">
        <f>'V-4º ANO'!B21+'V-4º ANO'!B45</f>
        <v>1</v>
      </c>
      <c r="H11" s="1047">
        <f t="shared" si="1"/>
        <v>7.246376811594203E-3</v>
      </c>
      <c r="I11" s="1119">
        <f>'V-4º ANO'!E21+'V-4º ANO'!H45</f>
        <v>0</v>
      </c>
      <c r="J11" s="1049">
        <f t="shared" si="2"/>
        <v>0</v>
      </c>
      <c r="K11" s="1119">
        <f>'V-4º ANO'!K21+'V-4º ANO'!N45</f>
        <v>116</v>
      </c>
      <c r="L11" s="1052">
        <f t="shared" si="3"/>
        <v>0.84057971014492749</v>
      </c>
      <c r="M11" s="1045">
        <v>47</v>
      </c>
      <c r="N11" s="1052">
        <f t="shared" si="4"/>
        <v>0.34057971014492755</v>
      </c>
      <c r="O11" s="940"/>
      <c r="P11" s="15"/>
      <c r="Q11" s="15"/>
    </row>
    <row r="12" spans="1:25" ht="23.25" customHeight="1" thickBot="1">
      <c r="A12" s="1462" t="s">
        <v>539</v>
      </c>
      <c r="B12" s="1463"/>
      <c r="C12" s="1456">
        <f>C8+C9+C10+C11</f>
        <v>497</v>
      </c>
      <c r="D12" s="1457"/>
      <c r="E12" s="950">
        <f>SUM(E8:E11)</f>
        <v>112</v>
      </c>
      <c r="F12" s="1061">
        <f t="shared" si="0"/>
        <v>0.22535211267605634</v>
      </c>
      <c r="G12" s="931">
        <f>SUM(G8:G11)</f>
        <v>3</v>
      </c>
      <c r="H12" s="1057">
        <f>0.02%</f>
        <v>2.0000000000000001E-4</v>
      </c>
      <c r="I12" s="932">
        <f>SUM(I10:I11)</f>
        <v>0</v>
      </c>
      <c r="J12" s="966">
        <f>0.02%</f>
        <v>2.0000000000000001E-4</v>
      </c>
      <c r="K12" s="933">
        <f>SUM(K8:K11)</f>
        <v>370</v>
      </c>
      <c r="L12" s="1054">
        <f t="shared" si="3"/>
        <v>0.74446680080482897</v>
      </c>
      <c r="M12" s="946">
        <f>SUM(M8:M11)</f>
        <v>247</v>
      </c>
      <c r="N12" s="1053">
        <f t="shared" si="4"/>
        <v>0.49698189134808851</v>
      </c>
      <c r="O12" s="940"/>
      <c r="P12" s="15"/>
      <c r="Q12" s="15"/>
    </row>
    <row r="13" spans="1:25" ht="18" customHeight="1" thickBot="1">
      <c r="A13" s="1458" t="s">
        <v>125</v>
      </c>
      <c r="B13" s="1459"/>
      <c r="C13" s="1460">
        <f>'VI-5º ANO'!B17</f>
        <v>126</v>
      </c>
      <c r="D13" s="1461"/>
      <c r="E13" s="1119">
        <f>'VI-5º ANO'!O30</f>
        <v>42</v>
      </c>
      <c r="F13" s="1047">
        <f t="shared" si="0"/>
        <v>0.33333333333333331</v>
      </c>
      <c r="G13" s="1119">
        <f>'VI-5º ANO'!I30</f>
        <v>5</v>
      </c>
      <c r="H13" s="1048">
        <f t="shared" ref="H13:H14" si="5">G13/C13</f>
        <v>3.968253968253968E-2</v>
      </c>
      <c r="I13" s="1119">
        <f>'VI-5º ANO'!L30</f>
        <v>1</v>
      </c>
      <c r="J13" s="1049">
        <f t="shared" si="2"/>
        <v>7.9365079365079361E-3</v>
      </c>
      <c r="K13" s="1119">
        <f>'VI-5º ANO'!R30</f>
        <v>81</v>
      </c>
      <c r="L13" s="1052">
        <f>K13/C13</f>
        <v>0.6428571428571429</v>
      </c>
      <c r="M13" s="577">
        <v>58</v>
      </c>
      <c r="N13" s="1052">
        <f t="shared" si="4"/>
        <v>0.46031746031746029</v>
      </c>
      <c r="O13" s="940"/>
      <c r="P13" s="15"/>
      <c r="Q13" s="15"/>
    </row>
    <row r="14" spans="1:25" ht="17.25" customHeight="1" thickBot="1">
      <c r="A14" s="1458" t="s">
        <v>127</v>
      </c>
      <c r="B14" s="1459"/>
      <c r="C14" s="1460">
        <f>'VII-6º ANO'!B16</f>
        <v>130</v>
      </c>
      <c r="D14" s="1461"/>
      <c r="E14" s="1120">
        <f>'VII-6º ANO'!P29</f>
        <v>52</v>
      </c>
      <c r="F14" s="1047">
        <f t="shared" si="0"/>
        <v>0.4</v>
      </c>
      <c r="G14" s="1120">
        <f>'VII-6º ANO'!G29</f>
        <v>9</v>
      </c>
      <c r="H14" s="1048">
        <f t="shared" si="5"/>
        <v>6.9230769230769235E-2</v>
      </c>
      <c r="I14" s="1120">
        <v>1</v>
      </c>
      <c r="J14" s="1049">
        <f t="shared" si="2"/>
        <v>7.6923076923076927E-3</v>
      </c>
      <c r="K14" s="1119">
        <f>'VII-6º ANO'!S29</f>
        <v>72</v>
      </c>
      <c r="L14" s="1052">
        <f>K14/C14</f>
        <v>0.55384615384615388</v>
      </c>
      <c r="M14" s="577">
        <v>56</v>
      </c>
      <c r="N14" s="1052">
        <f t="shared" si="4"/>
        <v>0.43076923076923079</v>
      </c>
      <c r="O14" s="940"/>
      <c r="P14" s="15"/>
      <c r="Q14" s="15"/>
    </row>
    <row r="15" spans="1:25" ht="21.75" customHeight="1" thickBot="1">
      <c r="A15" s="1462" t="s">
        <v>178</v>
      </c>
      <c r="B15" s="1463"/>
      <c r="C15" s="1456">
        <f>SUM(C13:C14)</f>
        <v>256</v>
      </c>
      <c r="D15" s="1457"/>
      <c r="E15" s="952">
        <f>SUM(E13:E14)</f>
        <v>94</v>
      </c>
      <c r="F15" s="1061">
        <f t="shared" si="0"/>
        <v>0.3671875</v>
      </c>
      <c r="G15" s="869">
        <f>SUM(G13:G14)</f>
        <v>14</v>
      </c>
      <c r="H15" s="1058">
        <f>G15/C15</f>
        <v>5.46875E-2</v>
      </c>
      <c r="I15" s="870">
        <f>SUM(I13:I14)</f>
        <v>2</v>
      </c>
      <c r="J15" s="966">
        <f t="shared" si="2"/>
        <v>7.8125E-3</v>
      </c>
      <c r="K15" s="871">
        <f>SUM(K13:K14)</f>
        <v>153</v>
      </c>
      <c r="L15" s="1055">
        <f>K15/C15</f>
        <v>0.59765625</v>
      </c>
      <c r="M15" s="947">
        <f>SUM(M13:M14)</f>
        <v>114</v>
      </c>
      <c r="N15" s="1053">
        <f t="shared" si="4"/>
        <v>0.4453125</v>
      </c>
      <c r="O15" s="941"/>
      <c r="P15" s="15"/>
      <c r="Q15" s="15"/>
    </row>
    <row r="16" spans="1:25" ht="19.5" customHeight="1" thickBot="1">
      <c r="A16" s="1458" t="s">
        <v>130</v>
      </c>
      <c r="B16" s="1459"/>
      <c r="C16" s="1460">
        <f>'VIII-7º ANO'!B17</f>
        <v>126</v>
      </c>
      <c r="D16" s="1461"/>
      <c r="E16" s="1121">
        <f>'VIII-7º ANO'!Q29</f>
        <v>68</v>
      </c>
      <c r="F16" s="1047">
        <f t="shared" si="0"/>
        <v>0.53968253968253965</v>
      </c>
      <c r="G16" s="1124">
        <f>'VIII-7º ANO'!K29</f>
        <v>14</v>
      </c>
      <c r="H16" s="1059">
        <f t="shared" ref="H16:H18" si="6">G16/C16</f>
        <v>0.1111111111111111</v>
      </c>
      <c r="I16" s="1121">
        <v>1</v>
      </c>
      <c r="J16" s="1049">
        <f t="shared" si="2"/>
        <v>7.9365079365079361E-3</v>
      </c>
      <c r="K16" s="1125">
        <f>'VIII-7º ANO'!T29</f>
        <v>43</v>
      </c>
      <c r="L16" s="1056">
        <f t="shared" ref="L16:L21" si="7">K16/C16</f>
        <v>0.34126984126984128</v>
      </c>
      <c r="M16" s="755">
        <v>39</v>
      </c>
      <c r="N16" s="1052">
        <f t="shared" si="4"/>
        <v>0.30952380952380953</v>
      </c>
      <c r="O16" s="941"/>
      <c r="P16" s="15"/>
      <c r="Q16" s="15"/>
    </row>
    <row r="17" spans="1:18" ht="21" customHeight="1" thickBot="1">
      <c r="A17" s="1458" t="s">
        <v>131</v>
      </c>
      <c r="B17" s="1459"/>
      <c r="C17" s="1460">
        <f>'IX-8º ANO'!B15</f>
        <v>110</v>
      </c>
      <c r="D17" s="1461"/>
      <c r="E17" s="1122">
        <f>'IX-8º ANO'!T26</f>
        <v>57</v>
      </c>
      <c r="F17" s="1047">
        <f t="shared" si="0"/>
        <v>0.51818181818181819</v>
      </c>
      <c r="G17" s="1125">
        <f>'IX-8º ANO'!N26</f>
        <v>1</v>
      </c>
      <c r="H17" s="1059">
        <f t="shared" si="6"/>
        <v>9.0909090909090905E-3</v>
      </c>
      <c r="I17" s="1122">
        <f>'IX-8º ANO'!Q26</f>
        <v>0</v>
      </c>
      <c r="J17" s="1049">
        <f t="shared" si="2"/>
        <v>0</v>
      </c>
      <c r="K17" s="1125">
        <f>'IX-8º ANO'!W26</f>
        <v>38</v>
      </c>
      <c r="L17" s="1056">
        <f t="shared" si="7"/>
        <v>0.34545454545454546</v>
      </c>
      <c r="M17" s="755">
        <v>33</v>
      </c>
      <c r="N17" s="1052">
        <f t="shared" si="4"/>
        <v>0.3</v>
      </c>
      <c r="O17" s="941"/>
      <c r="P17" s="15"/>
      <c r="Q17" s="15"/>
    </row>
    <row r="18" spans="1:18" ht="19.5" customHeight="1" thickBot="1">
      <c r="A18" s="1458" t="s">
        <v>132</v>
      </c>
      <c r="B18" s="1459"/>
      <c r="C18" s="1460">
        <f>'X-9º ANO'!B13</f>
        <v>86</v>
      </c>
      <c r="D18" s="1461"/>
      <c r="E18" s="1123">
        <f>'X-9º ANO'!R23</f>
        <v>50</v>
      </c>
      <c r="F18" s="1047">
        <f t="shared" si="0"/>
        <v>0.58139534883720934</v>
      </c>
      <c r="G18" s="1126">
        <f>'X-9º ANO'!L23</f>
        <v>1</v>
      </c>
      <c r="H18" s="1059">
        <f t="shared" si="6"/>
        <v>1.1627906976744186E-2</v>
      </c>
      <c r="I18" s="1123">
        <v>2</v>
      </c>
      <c r="J18" s="1049">
        <f t="shared" si="2"/>
        <v>2.3255813953488372E-2</v>
      </c>
      <c r="K18" s="1125">
        <f>'X-9º ANO'!U23</f>
        <v>40</v>
      </c>
      <c r="L18" s="1056">
        <f t="shared" si="7"/>
        <v>0.46511627906976744</v>
      </c>
      <c r="M18" s="755">
        <v>45</v>
      </c>
      <c r="N18" s="1052">
        <f t="shared" si="4"/>
        <v>0.52325581395348841</v>
      </c>
      <c r="O18" s="941"/>
      <c r="P18" s="15"/>
      <c r="Q18" s="15"/>
      <c r="R18" s="1051"/>
    </row>
    <row r="19" spans="1:18" ht="17.25" customHeight="1" thickBot="1">
      <c r="A19" s="1454" t="s">
        <v>186</v>
      </c>
      <c r="B19" s="1455"/>
      <c r="C19" s="1456">
        <f>SUM(C16:C18)</f>
        <v>322</v>
      </c>
      <c r="D19" s="1457"/>
      <c r="E19" s="952">
        <f>SUM(E16:E18)</f>
        <v>175</v>
      </c>
      <c r="F19" s="1061">
        <f t="shared" si="0"/>
        <v>0.54347826086956519</v>
      </c>
      <c r="G19" s="869">
        <f>SUM(G16:G18)</f>
        <v>16</v>
      </c>
      <c r="H19" s="1058">
        <f>G19/C19</f>
        <v>4.9689440993788817E-2</v>
      </c>
      <c r="I19" s="870">
        <f>I16+I17+I18</f>
        <v>3</v>
      </c>
      <c r="J19" s="966">
        <f t="shared" si="2"/>
        <v>9.316770186335404E-3</v>
      </c>
      <c r="K19" s="871">
        <f>SUM(K16:K18)</f>
        <v>121</v>
      </c>
      <c r="L19" s="1055">
        <f t="shared" si="7"/>
        <v>0.37577639751552794</v>
      </c>
      <c r="M19" s="947">
        <f>SUM(M16:M18)</f>
        <v>117</v>
      </c>
      <c r="N19" s="1053">
        <f t="shared" si="4"/>
        <v>0.36335403726708076</v>
      </c>
      <c r="O19" s="941"/>
      <c r="P19" s="15"/>
      <c r="Q19" s="15"/>
    </row>
    <row r="20" spans="1:18" ht="15.75" customHeight="1" thickBot="1">
      <c r="A20" s="1466" t="s">
        <v>93</v>
      </c>
      <c r="B20" s="1467"/>
      <c r="C20" s="1460">
        <f>'XI-CEF''S'!B12</f>
        <v>59</v>
      </c>
      <c r="D20" s="1461"/>
      <c r="E20" s="953"/>
      <c r="F20" s="1062"/>
      <c r="G20" s="1127">
        <f>'XI-CEF''S'!P21</f>
        <v>11</v>
      </c>
      <c r="H20" s="1059">
        <f>G20/C20</f>
        <v>0.1864406779661017</v>
      </c>
      <c r="I20" s="1039"/>
      <c r="J20" s="1050">
        <f t="shared" si="2"/>
        <v>0</v>
      </c>
      <c r="K20" s="1125">
        <f>'XI-CEF''S'!T21</f>
        <v>31</v>
      </c>
      <c r="L20" s="1056">
        <f t="shared" si="7"/>
        <v>0.52542372881355937</v>
      </c>
      <c r="M20" s="755">
        <v>4</v>
      </c>
      <c r="N20" s="1052">
        <f t="shared" si="4"/>
        <v>6.7796610169491525E-2</v>
      </c>
      <c r="O20" s="941"/>
      <c r="P20" s="15"/>
      <c r="Q20" s="15"/>
    </row>
    <row r="21" spans="1:18" ht="24.75" customHeight="1" thickBot="1">
      <c r="A21" s="1464" t="s">
        <v>7</v>
      </c>
      <c r="B21" s="1465"/>
      <c r="C21" s="1456">
        <f>C12+C15+C19+C20</f>
        <v>1134</v>
      </c>
      <c r="D21" s="1457"/>
      <c r="E21" s="951">
        <f>E12+E15+E19</f>
        <v>381</v>
      </c>
      <c r="F21" s="1061">
        <f>E21/(C12+C15+C19)</f>
        <v>0.35441860465116282</v>
      </c>
      <c r="G21" s="923">
        <v>44</v>
      </c>
      <c r="H21" s="1060">
        <f>G21/C21</f>
        <v>3.8800705467372132E-2</v>
      </c>
      <c r="I21" s="925">
        <f>I12+I15+I19+I20</f>
        <v>5</v>
      </c>
      <c r="J21" s="966">
        <f t="shared" si="2"/>
        <v>4.4091710758377423E-3</v>
      </c>
      <c r="K21" s="927">
        <f>K12+K15+K19+K20</f>
        <v>675</v>
      </c>
      <c r="L21" s="1055">
        <f t="shared" si="7"/>
        <v>0.59523809523809523</v>
      </c>
      <c r="M21" s="948">
        <f>M12+M15+M19+M20</f>
        <v>482</v>
      </c>
      <c r="N21" s="1053">
        <f t="shared" si="4"/>
        <v>0.42504409171075835</v>
      </c>
      <c r="O21" s="941"/>
      <c r="P21" s="15"/>
      <c r="Q21" s="15"/>
    </row>
    <row r="22" spans="1:18" ht="51" customHeight="1">
      <c r="C22" s="2"/>
      <c r="J22" s="191"/>
      <c r="P22" s="191"/>
      <c r="Q22" s="191"/>
    </row>
    <row r="23" spans="1:18" ht="53.25" customHeight="1">
      <c r="J23" s="191"/>
      <c r="P23" s="191"/>
      <c r="Q23" s="191"/>
    </row>
    <row r="24" spans="1:18" ht="55.5" customHeight="1"/>
  </sheetData>
  <mergeCells count="36">
    <mergeCell ref="E6:F6"/>
    <mergeCell ref="G6:H6"/>
    <mergeCell ref="I6:J6"/>
    <mergeCell ref="K6:L6"/>
    <mergeCell ref="C12:D12"/>
    <mergeCell ref="C7:D7"/>
    <mergeCell ref="A8:B8"/>
    <mergeCell ref="C8:D8"/>
    <mergeCell ref="A9:B9"/>
    <mergeCell ref="C9:D9"/>
    <mergeCell ref="A20:B20"/>
    <mergeCell ref="C20:D20"/>
    <mergeCell ref="A21:B21"/>
    <mergeCell ref="C21:D21"/>
    <mergeCell ref="A16:B16"/>
    <mergeCell ref="C16:D16"/>
    <mergeCell ref="A17:B17"/>
    <mergeCell ref="C17:D17"/>
    <mergeCell ref="A18:B18"/>
    <mergeCell ref="C18:D18"/>
    <mergeCell ref="A3:N3"/>
    <mergeCell ref="M6:N6"/>
    <mergeCell ref="A19:B19"/>
    <mergeCell ref="C19:D19"/>
    <mergeCell ref="A13:B13"/>
    <mergeCell ref="C13:D13"/>
    <mergeCell ref="A14:B14"/>
    <mergeCell ref="C14:D14"/>
    <mergeCell ref="A15:B15"/>
    <mergeCell ref="C15:D15"/>
    <mergeCell ref="A10:B10"/>
    <mergeCell ref="C10:D10"/>
    <mergeCell ref="A11:B11"/>
    <mergeCell ref="C11:D11"/>
    <mergeCell ref="A12:B12"/>
    <mergeCell ref="A7:B7"/>
  </mergeCells>
  <printOptions horizontalCentered="1"/>
  <pageMargins left="0.74803149606299213" right="0.74803149606299213" top="1.5748031496062993" bottom="0.59055118110236227" header="0" footer="0"/>
  <pageSetup paperSize="9" scale="87" orientation="landscape" useFirstPageNumber="1" r:id="rId1"/>
  <headerFooter>
    <oddHeader>&amp;L&amp;"Trebuchet MS,Negrito"&amp;12&amp;K01+011AGRUPAMENTO DE ESCOLAS MIGUEL TORGA&amp;C
&amp;R&amp;"Trebuchet MS,Negrito itálico"&amp;12AUTOAVALIAÇÃO
3ºPeríodo  2012/13
Tabela XIV</oddHeader>
    <oddFooter xml:space="preserve">&amp;C
&amp;R15
</oddFooter>
  </headerFooter>
  <colBreaks count="1" manualBreakCount="1">
    <brk id="7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V25"/>
  <sheetViews>
    <sheetView topLeftCell="C1" workbookViewId="0">
      <selection activeCell="X21" sqref="X21"/>
    </sheetView>
  </sheetViews>
  <sheetFormatPr defaultRowHeight="12.75"/>
  <cols>
    <col min="1" max="1" width="9" customWidth="1"/>
    <col min="2" max="2" width="6.140625" customWidth="1"/>
    <col min="3" max="3" width="10.7109375" customWidth="1"/>
    <col min="4" max="4" width="0.28515625" customWidth="1"/>
    <col min="11" max="13" width="0" hidden="1" customWidth="1"/>
  </cols>
  <sheetData>
    <row r="1" spans="1:22">
      <c r="A1" s="15"/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</row>
    <row r="2" spans="1:22" ht="21.75" thickBot="1">
      <c r="A2" s="1506" t="s">
        <v>585</v>
      </c>
      <c r="B2" s="1506"/>
      <c r="C2" s="1506"/>
      <c r="D2" s="1506"/>
      <c r="E2" s="1506"/>
      <c r="F2" s="1506"/>
      <c r="G2" s="1506"/>
      <c r="H2" s="1506"/>
      <c r="I2" s="1506"/>
      <c r="J2" s="1506"/>
      <c r="K2" s="1506"/>
      <c r="L2" s="1506"/>
      <c r="M2" s="1506"/>
      <c r="N2" s="1506"/>
      <c r="O2" s="1506"/>
      <c r="P2" s="1506"/>
      <c r="Q2" s="1506"/>
      <c r="R2" s="1506"/>
      <c r="S2" s="1506"/>
      <c r="T2" s="1506"/>
      <c r="U2" s="1506"/>
      <c r="V2" s="1506"/>
    </row>
    <row r="3" spans="1:22" ht="30.75" customHeight="1" thickTop="1" thickBot="1">
      <c r="C3" s="747"/>
      <c r="D3" s="747"/>
      <c r="E3" s="1507" t="s">
        <v>511</v>
      </c>
      <c r="F3" s="1508"/>
      <c r="G3" s="1509"/>
      <c r="H3" s="1507" t="s">
        <v>464</v>
      </c>
      <c r="I3" s="1508"/>
      <c r="J3" s="1509"/>
      <c r="K3" s="1507" t="s">
        <v>607</v>
      </c>
      <c r="L3" s="1508"/>
      <c r="M3" s="1509"/>
      <c r="N3" s="1514" t="s">
        <v>640</v>
      </c>
      <c r="O3" s="1515"/>
      <c r="P3" s="1516"/>
      <c r="Q3" s="1513" t="s">
        <v>637</v>
      </c>
      <c r="R3" s="1511"/>
      <c r="S3" s="1512"/>
      <c r="T3" s="1510" t="s">
        <v>457</v>
      </c>
      <c r="U3" s="1511"/>
      <c r="V3" s="1512"/>
    </row>
    <row r="4" spans="1:22" ht="54.75" thickBot="1">
      <c r="A4" s="1503"/>
      <c r="B4" s="1504"/>
      <c r="C4" s="1476" t="s">
        <v>596</v>
      </c>
      <c r="D4" s="1505"/>
      <c r="E4" s="1167" t="s">
        <v>512</v>
      </c>
      <c r="F4" s="1168" t="s">
        <v>518</v>
      </c>
      <c r="G4" s="1169" t="s">
        <v>565</v>
      </c>
      <c r="H4" s="1167" t="s">
        <v>513</v>
      </c>
      <c r="I4" s="1168" t="s">
        <v>519</v>
      </c>
      <c r="J4" s="1169" t="s">
        <v>566</v>
      </c>
      <c r="K4" s="1167" t="s">
        <v>619</v>
      </c>
      <c r="L4" s="1168" t="s">
        <v>621</v>
      </c>
      <c r="M4" s="1169" t="s">
        <v>620</v>
      </c>
      <c r="N4" s="1167" t="s">
        <v>642</v>
      </c>
      <c r="O4" s="1168" t="s">
        <v>641</v>
      </c>
      <c r="P4" s="1169" t="s">
        <v>643</v>
      </c>
      <c r="Q4" s="1170" t="s">
        <v>622</v>
      </c>
      <c r="R4" s="1171" t="s">
        <v>623</v>
      </c>
      <c r="S4" s="1172" t="s">
        <v>624</v>
      </c>
      <c r="T4" s="1173" t="s">
        <v>514</v>
      </c>
      <c r="U4" s="1171" t="s">
        <v>516</v>
      </c>
      <c r="V4" s="1172" t="s">
        <v>567</v>
      </c>
    </row>
    <row r="5" spans="1:22" ht="15.75" thickBot="1">
      <c r="A5" s="1458" t="s">
        <v>116</v>
      </c>
      <c r="B5" s="1459"/>
      <c r="C5" s="1498">
        <f>'II-1º ANO'!B11+'II-1º ANO'!B31</f>
        <v>102</v>
      </c>
      <c r="D5" s="1499"/>
      <c r="E5" s="1147">
        <v>0</v>
      </c>
      <c r="F5" s="1144">
        <v>0</v>
      </c>
      <c r="G5" s="1148">
        <f>E5/C5</f>
        <v>0</v>
      </c>
      <c r="H5" s="1147">
        <v>0</v>
      </c>
      <c r="I5" s="1144">
        <v>0</v>
      </c>
      <c r="J5" s="1148">
        <f>H5/C5</f>
        <v>0</v>
      </c>
      <c r="K5" s="1147">
        <v>0</v>
      </c>
      <c r="L5" s="1144">
        <v>0</v>
      </c>
      <c r="M5" s="1148">
        <f>K5/C5</f>
        <v>0</v>
      </c>
      <c r="N5" s="1185">
        <v>0</v>
      </c>
      <c r="O5" s="1185">
        <v>0</v>
      </c>
      <c r="P5" s="1211">
        <v>0</v>
      </c>
      <c r="Q5" s="1178">
        <v>0</v>
      </c>
      <c r="R5" s="1179">
        <v>0</v>
      </c>
      <c r="S5" s="1148">
        <f>Q5/C5</f>
        <v>0</v>
      </c>
      <c r="T5" s="1136">
        <v>0</v>
      </c>
      <c r="U5" s="1144">
        <v>0</v>
      </c>
      <c r="V5" s="1148">
        <f>T5/C5</f>
        <v>0</v>
      </c>
    </row>
    <row r="6" spans="1:22" ht="15.75" thickBot="1">
      <c r="A6" s="1458" t="s">
        <v>114</v>
      </c>
      <c r="B6" s="1459"/>
      <c r="C6" s="1498">
        <f>'III-2º ANO'!B12+'III-2º ANO'!B34</f>
        <v>126</v>
      </c>
      <c r="D6" s="1499"/>
      <c r="E6" s="1149">
        <v>0</v>
      </c>
      <c r="F6" s="1142">
        <v>0</v>
      </c>
      <c r="G6" s="1150">
        <f t="shared" ref="G6:G8" si="0">E6/C6</f>
        <v>0</v>
      </c>
      <c r="H6" s="1149">
        <v>0</v>
      </c>
      <c r="I6" s="1142">
        <v>0</v>
      </c>
      <c r="J6" s="1150">
        <f t="shared" ref="J6:J8" si="1">H6/C6</f>
        <v>0</v>
      </c>
      <c r="K6" s="1149">
        <v>0</v>
      </c>
      <c r="L6" s="1142">
        <v>0</v>
      </c>
      <c r="M6" s="1150">
        <f t="shared" ref="M6:M8" si="2">K6/C6</f>
        <v>0</v>
      </c>
      <c r="N6" s="1187">
        <v>0</v>
      </c>
      <c r="O6" s="1187">
        <v>0</v>
      </c>
      <c r="P6" s="1212">
        <v>0</v>
      </c>
      <c r="Q6" s="1180">
        <v>0</v>
      </c>
      <c r="R6" s="1181">
        <v>0</v>
      </c>
      <c r="S6" s="1150">
        <f t="shared" ref="S6:S18" si="3">Q6/C6</f>
        <v>0</v>
      </c>
      <c r="T6" s="1138">
        <v>0</v>
      </c>
      <c r="U6" s="1142">
        <v>0</v>
      </c>
      <c r="V6" s="1150">
        <f t="shared" ref="V6:V8" si="4">T6/C6</f>
        <v>0</v>
      </c>
    </row>
    <row r="7" spans="1:22" ht="15.75" thickBot="1">
      <c r="A7" s="1458" t="s">
        <v>115</v>
      </c>
      <c r="B7" s="1459"/>
      <c r="C7" s="1498">
        <f>'IV-3º ANO'!B12+'IV-3º ANO'!B35</f>
        <v>131</v>
      </c>
      <c r="D7" s="1499"/>
      <c r="E7" s="1149">
        <v>0</v>
      </c>
      <c r="F7" s="1142">
        <v>0</v>
      </c>
      <c r="G7" s="1150">
        <f t="shared" si="0"/>
        <v>0</v>
      </c>
      <c r="H7" s="1149">
        <v>0</v>
      </c>
      <c r="I7" s="1142">
        <v>0</v>
      </c>
      <c r="J7" s="1150">
        <f t="shared" si="1"/>
        <v>0</v>
      </c>
      <c r="K7" s="1149">
        <v>0</v>
      </c>
      <c r="L7" s="1142">
        <v>0</v>
      </c>
      <c r="M7" s="1150">
        <f t="shared" si="2"/>
        <v>0</v>
      </c>
      <c r="N7" s="1187">
        <v>0</v>
      </c>
      <c r="O7" s="1187">
        <v>0</v>
      </c>
      <c r="P7" s="1212">
        <v>0</v>
      </c>
      <c r="Q7" s="1180">
        <v>0</v>
      </c>
      <c r="R7" s="1181">
        <v>0</v>
      </c>
      <c r="S7" s="1150">
        <f t="shared" si="3"/>
        <v>0</v>
      </c>
      <c r="T7" s="1138">
        <v>0</v>
      </c>
      <c r="U7" s="1142">
        <v>0</v>
      </c>
      <c r="V7" s="1150">
        <f t="shared" si="4"/>
        <v>0</v>
      </c>
    </row>
    <row r="8" spans="1:22" ht="15.75" thickBot="1">
      <c r="A8" s="1458" t="s">
        <v>117</v>
      </c>
      <c r="B8" s="1459"/>
      <c r="C8" s="1498">
        <f>'V-4º ANO'!B12+'V-4º ANO'!B36</f>
        <v>138</v>
      </c>
      <c r="D8" s="1499"/>
      <c r="E8" s="1149">
        <v>0</v>
      </c>
      <c r="F8" s="1142">
        <v>0</v>
      </c>
      <c r="G8" s="1150">
        <f t="shared" si="0"/>
        <v>0</v>
      </c>
      <c r="H8" s="1149">
        <v>0</v>
      </c>
      <c r="I8" s="1142">
        <v>0</v>
      </c>
      <c r="J8" s="1150">
        <f t="shared" si="1"/>
        <v>0</v>
      </c>
      <c r="K8" s="1149">
        <v>0</v>
      </c>
      <c r="L8" s="1142">
        <v>0</v>
      </c>
      <c r="M8" s="1150">
        <f t="shared" si="2"/>
        <v>0</v>
      </c>
      <c r="N8" s="1187">
        <v>0</v>
      </c>
      <c r="O8" s="1187">
        <v>0</v>
      </c>
      <c r="P8" s="1212">
        <v>0</v>
      </c>
      <c r="Q8" s="1180">
        <v>0</v>
      </c>
      <c r="R8" s="1181">
        <v>0</v>
      </c>
      <c r="S8" s="1150">
        <f t="shared" si="3"/>
        <v>0</v>
      </c>
      <c r="T8" s="1138">
        <v>1</v>
      </c>
      <c r="U8" s="1142">
        <v>1</v>
      </c>
      <c r="V8" s="1150">
        <f t="shared" si="4"/>
        <v>7.246376811594203E-3</v>
      </c>
    </row>
    <row r="9" spans="1:22" ht="15.75" thickBot="1">
      <c r="A9" s="1500" t="s">
        <v>539</v>
      </c>
      <c r="B9" s="1500"/>
      <c r="C9" s="1501">
        <f>C5+C6+C7+C8</f>
        <v>497</v>
      </c>
      <c r="D9" s="1502"/>
      <c r="E9" s="1151">
        <f>SUM(E5:E8)</f>
        <v>0</v>
      </c>
      <c r="F9" s="1133">
        <f>SUM(F5:F8)</f>
        <v>0</v>
      </c>
      <c r="G9" s="1152">
        <f>E9/C9</f>
        <v>0</v>
      </c>
      <c r="H9" s="1151">
        <f>SUM(H5:H8)</f>
        <v>0</v>
      </c>
      <c r="I9" s="1133">
        <f>SUM(I5:I8)</f>
        <v>0</v>
      </c>
      <c r="J9" s="1152">
        <f>H9/C9</f>
        <v>0</v>
      </c>
      <c r="K9" s="1151">
        <f>SUM(K7:K8)</f>
        <v>0</v>
      </c>
      <c r="L9" s="1133">
        <f>SUM(L7:L8)</f>
        <v>0</v>
      </c>
      <c r="M9" s="1154">
        <f>K9/C9</f>
        <v>0</v>
      </c>
      <c r="N9" s="1214">
        <v>0</v>
      </c>
      <c r="O9" s="1214">
        <v>0</v>
      </c>
      <c r="P9" s="1213">
        <v>0</v>
      </c>
      <c r="Q9" s="1165">
        <f>SUM(Q5:Q8)</f>
        <v>0</v>
      </c>
      <c r="R9" s="1146">
        <f>SUM(R5:R8)</f>
        <v>0</v>
      </c>
      <c r="S9" s="1155">
        <f t="shared" si="3"/>
        <v>0</v>
      </c>
      <c r="T9" s="1163">
        <f>SUM(T7:T8)</f>
        <v>1</v>
      </c>
      <c r="U9" s="1145">
        <f>SUM(U7:U8)</f>
        <v>1</v>
      </c>
      <c r="V9" s="1155">
        <f>T9/C9</f>
        <v>2.012072434607646E-3</v>
      </c>
    </row>
    <row r="10" spans="1:22" ht="15.75" thickBot="1">
      <c r="A10" s="1458" t="s">
        <v>125</v>
      </c>
      <c r="B10" s="1459"/>
      <c r="C10" s="1498">
        <f>'VI-5º ANO'!B17</f>
        <v>126</v>
      </c>
      <c r="D10" s="1499"/>
      <c r="E10" s="1149">
        <f>5+6+3+4+16</f>
        <v>34</v>
      </c>
      <c r="F10" s="1142">
        <v>194</v>
      </c>
      <c r="G10" s="1150">
        <f t="shared" ref="G10:G17" si="5">E10/C10</f>
        <v>0.26984126984126983</v>
      </c>
      <c r="H10" s="1149">
        <v>2</v>
      </c>
      <c r="I10" s="1142">
        <v>2</v>
      </c>
      <c r="J10" s="1150">
        <f t="shared" ref="J10:J17" si="6">H10/C10</f>
        <v>1.5873015873015872E-2</v>
      </c>
      <c r="K10" s="1149">
        <v>0</v>
      </c>
      <c r="L10" s="1142">
        <v>0</v>
      </c>
      <c r="M10" s="1150">
        <f t="shared" ref="M10:M19" si="7">K10/C10</f>
        <v>0</v>
      </c>
      <c r="N10" s="1187">
        <f>2+9+5+6+16</f>
        <v>38</v>
      </c>
      <c r="O10" s="1187">
        <f>6+16+28+25+19+0+18</f>
        <v>112</v>
      </c>
      <c r="P10" s="1150">
        <f>N10/C10</f>
        <v>0.30158730158730157</v>
      </c>
      <c r="Q10" s="1180">
        <f>5+10+5+6+10+10+6</f>
        <v>52</v>
      </c>
      <c r="R10" s="1181">
        <f>6+12+16+24+28+25+19+19+13+100+18+26</f>
        <v>306</v>
      </c>
      <c r="S10" s="1150">
        <f t="shared" si="3"/>
        <v>0.41269841269841268</v>
      </c>
      <c r="T10" s="1138">
        <v>6</v>
      </c>
      <c r="U10" s="1142">
        <v>7</v>
      </c>
      <c r="V10" s="1150">
        <f>T10/C10</f>
        <v>4.7619047619047616E-2</v>
      </c>
    </row>
    <row r="11" spans="1:22" ht="15.75" thickBot="1">
      <c r="A11" s="1458" t="s">
        <v>127</v>
      </c>
      <c r="B11" s="1459"/>
      <c r="C11" s="1498">
        <f>'VII-6º ANO'!B16</f>
        <v>130</v>
      </c>
      <c r="D11" s="1499"/>
      <c r="E11" s="1190">
        <v>46</v>
      </c>
      <c r="F11" s="1143">
        <v>155</v>
      </c>
      <c r="G11" s="1150">
        <f t="shared" si="5"/>
        <v>0.35384615384615387</v>
      </c>
      <c r="H11" s="1190">
        <v>2</v>
      </c>
      <c r="I11" s="1143">
        <v>4</v>
      </c>
      <c r="J11" s="1150">
        <f t="shared" si="6"/>
        <v>1.5384615384615385E-2</v>
      </c>
      <c r="K11" s="1190">
        <v>2</v>
      </c>
      <c r="L11" s="1143">
        <v>2</v>
      </c>
      <c r="M11" s="1150">
        <f t="shared" si="7"/>
        <v>1.5384615384615385E-2</v>
      </c>
      <c r="N11" s="1189">
        <f>11+7+6+5+12</f>
        <v>41</v>
      </c>
      <c r="O11" s="1189">
        <f>15+14+7+5+28+6</f>
        <v>75</v>
      </c>
      <c r="P11" s="1150">
        <f t="shared" ref="P11:P19" si="8">N11/C11</f>
        <v>0.31538461538461537</v>
      </c>
      <c r="Q11" s="1182">
        <f>9+4+4+3+5+8</f>
        <v>33</v>
      </c>
      <c r="R11" s="1183">
        <f>15+17+14+17+7+10+5+9+28+50+6+52</f>
        <v>230</v>
      </c>
      <c r="S11" s="1150">
        <f t="shared" si="3"/>
        <v>0.25384615384615383</v>
      </c>
      <c r="T11" s="1140">
        <v>20</v>
      </c>
      <c r="U11" s="1143">
        <v>23</v>
      </c>
      <c r="V11" s="1150">
        <f>T11/C11</f>
        <v>0.15384615384615385</v>
      </c>
    </row>
    <row r="12" spans="1:22" ht="15.75" customHeight="1" thickBot="1">
      <c r="A12" s="1500" t="s">
        <v>178</v>
      </c>
      <c r="B12" s="1500"/>
      <c r="C12" s="1501">
        <f>SUM(C10:C11)</f>
        <v>256</v>
      </c>
      <c r="D12" s="1502"/>
      <c r="E12" s="1151">
        <f>SUM(E10:E11)</f>
        <v>80</v>
      </c>
      <c r="F12" s="1133">
        <f>SUM(F10:F11)</f>
        <v>349</v>
      </c>
      <c r="G12" s="1152">
        <f t="shared" si="5"/>
        <v>0.3125</v>
      </c>
      <c r="H12" s="1151">
        <f>SUM(H5:H11)</f>
        <v>4</v>
      </c>
      <c r="I12" s="1133">
        <f>SUM(I7:I11)</f>
        <v>6</v>
      </c>
      <c r="J12" s="1152">
        <f t="shared" si="6"/>
        <v>1.5625E-2</v>
      </c>
      <c r="K12" s="1151">
        <f>SUM(K10:K11)</f>
        <v>2</v>
      </c>
      <c r="L12" s="1133">
        <f>SUM(L10:L11)</f>
        <v>2</v>
      </c>
      <c r="M12" s="1154">
        <f t="shared" si="7"/>
        <v>7.8125E-3</v>
      </c>
      <c r="N12" s="1214">
        <f>SUM(N10:N11)</f>
        <v>79</v>
      </c>
      <c r="O12" s="1214">
        <f>SUM(O10:O11)</f>
        <v>187</v>
      </c>
      <c r="P12" s="1154">
        <f t="shared" si="8"/>
        <v>0.30859375</v>
      </c>
      <c r="Q12" s="1165">
        <f>SUM(Q10:Q11)</f>
        <v>85</v>
      </c>
      <c r="R12" s="1146">
        <f>SUM(R10:R11)</f>
        <v>536</v>
      </c>
      <c r="S12" s="1155">
        <f t="shared" si="3"/>
        <v>0.33203125</v>
      </c>
      <c r="T12" s="1163">
        <f>SUM(T10:T11)</f>
        <v>26</v>
      </c>
      <c r="U12" s="1145">
        <f>SUM(U10:U11)</f>
        <v>30</v>
      </c>
      <c r="V12" s="1155">
        <f>T12/C12</f>
        <v>0.1015625</v>
      </c>
    </row>
    <row r="13" spans="1:22" ht="15.75" thickBot="1">
      <c r="A13" s="1458" t="s">
        <v>130</v>
      </c>
      <c r="B13" s="1459"/>
      <c r="C13" s="1498">
        <f>'VIII-7º ANO'!B17</f>
        <v>126</v>
      </c>
      <c r="D13" s="1499"/>
      <c r="E13" s="1147">
        <f>16+9+8+14</f>
        <v>47</v>
      </c>
      <c r="F13" s="1137">
        <v>157</v>
      </c>
      <c r="G13" s="1150">
        <f t="shared" si="5"/>
        <v>0.37301587301587302</v>
      </c>
      <c r="H13" s="1147">
        <f>1+2+3+4</f>
        <v>10</v>
      </c>
      <c r="I13" s="1137">
        <v>11</v>
      </c>
      <c r="J13" s="1150">
        <f t="shared" si="6"/>
        <v>7.9365079365079361E-2</v>
      </c>
      <c r="K13" s="1147">
        <v>0</v>
      </c>
      <c r="L13" s="1137">
        <v>0</v>
      </c>
      <c r="M13" s="1150">
        <f t="shared" si="7"/>
        <v>0</v>
      </c>
      <c r="N13" s="1185">
        <f>17+17+12+13+9</f>
        <v>68</v>
      </c>
      <c r="O13" s="1185">
        <f>79+14+37+44+26+27</f>
        <v>227</v>
      </c>
      <c r="P13" s="1150">
        <f t="shared" si="8"/>
        <v>0.53968253968253965</v>
      </c>
      <c r="Q13" s="1184">
        <f>13+8+18+12+14+14</f>
        <v>79</v>
      </c>
      <c r="R13" s="1185">
        <f>79+18+14+16+37+14+44+12+26+33+27+64</f>
        <v>384</v>
      </c>
      <c r="S13" s="1150">
        <f t="shared" si="3"/>
        <v>0.62698412698412698</v>
      </c>
      <c r="T13" s="1136">
        <v>23</v>
      </c>
      <c r="U13" s="1137">
        <v>24</v>
      </c>
      <c r="V13" s="1150">
        <f>T13/C13</f>
        <v>0.18253968253968253</v>
      </c>
    </row>
    <row r="14" spans="1:22" ht="15.75" thickBot="1">
      <c r="A14" s="1458" t="s">
        <v>131</v>
      </c>
      <c r="B14" s="1459"/>
      <c r="C14" s="1498">
        <f>'IX-8º ANO'!B15</f>
        <v>110</v>
      </c>
      <c r="D14" s="1499"/>
      <c r="E14" s="1149">
        <f>13+4+15+17</f>
        <v>49</v>
      </c>
      <c r="F14" s="1139">
        <v>124</v>
      </c>
      <c r="G14" s="1150">
        <f t="shared" si="5"/>
        <v>0.44545454545454544</v>
      </c>
      <c r="H14" s="1149">
        <f>29</f>
        <v>29</v>
      </c>
      <c r="I14" s="1139">
        <v>36</v>
      </c>
      <c r="J14" s="1150">
        <f t="shared" si="6"/>
        <v>0.26363636363636361</v>
      </c>
      <c r="K14" s="1149">
        <v>0</v>
      </c>
      <c r="L14" s="1139">
        <v>0</v>
      </c>
      <c r="M14" s="1150">
        <f t="shared" si="7"/>
        <v>0</v>
      </c>
      <c r="N14" s="1187">
        <f>11+7+12+2</f>
        <v>32</v>
      </c>
      <c r="O14" s="1187">
        <f>26+14+8+10+3</f>
        <v>61</v>
      </c>
      <c r="P14" s="1150">
        <f t="shared" si="8"/>
        <v>0.29090909090909089</v>
      </c>
      <c r="Q14" s="1186">
        <f>14+8+16+13+8</f>
        <v>59</v>
      </c>
      <c r="R14" s="1187">
        <f>26+35+14+6+8+54+10+16+3+13</f>
        <v>185</v>
      </c>
      <c r="S14" s="1150">
        <f t="shared" si="3"/>
        <v>0.53636363636363638</v>
      </c>
      <c r="T14" s="1138">
        <v>9</v>
      </c>
      <c r="U14" s="1139">
        <v>9</v>
      </c>
      <c r="V14" s="1150">
        <f t="shared" ref="V14:V15" si="9">T14/C14</f>
        <v>8.1818181818181818E-2</v>
      </c>
    </row>
    <row r="15" spans="1:22" ht="15.75" thickBot="1">
      <c r="A15" s="1458" t="s">
        <v>132</v>
      </c>
      <c r="B15" s="1459"/>
      <c r="C15" s="1498">
        <f>'X-9º ANO'!B13</f>
        <v>86</v>
      </c>
      <c r="D15" s="1499"/>
      <c r="E15" s="1190">
        <f>16</f>
        <v>16</v>
      </c>
      <c r="F15" s="1141">
        <v>27</v>
      </c>
      <c r="G15" s="1150">
        <f t="shared" si="5"/>
        <v>0.18604651162790697</v>
      </c>
      <c r="H15" s="1190">
        <v>1</v>
      </c>
      <c r="I15" s="1141">
        <v>1</v>
      </c>
      <c r="J15" s="1150">
        <f t="shared" si="6"/>
        <v>1.1627906976744186E-2</v>
      </c>
      <c r="K15" s="1190">
        <v>0</v>
      </c>
      <c r="L15" s="1141">
        <v>0</v>
      </c>
      <c r="M15" s="1150">
        <f t="shared" si="7"/>
        <v>0</v>
      </c>
      <c r="N15" s="1189">
        <f>12+5+9</f>
        <v>26</v>
      </c>
      <c r="O15" s="1189">
        <f>28+3+6+24</f>
        <v>61</v>
      </c>
      <c r="P15" s="1150">
        <f t="shared" si="8"/>
        <v>0.30232558139534882</v>
      </c>
      <c r="Q15" s="1188">
        <f>12+1+5+13</f>
        <v>31</v>
      </c>
      <c r="R15" s="1189">
        <f>28+7+3+6+1+24+19</f>
        <v>88</v>
      </c>
      <c r="S15" s="1150">
        <f t="shared" si="3"/>
        <v>0.36046511627906974</v>
      </c>
      <c r="T15" s="1140">
        <v>6</v>
      </c>
      <c r="U15" s="1141">
        <v>6</v>
      </c>
      <c r="V15" s="1150">
        <f t="shared" si="9"/>
        <v>6.9767441860465115E-2</v>
      </c>
    </row>
    <row r="16" spans="1:22" ht="15.75" customHeight="1" thickBot="1">
      <c r="A16" s="1500" t="s">
        <v>186</v>
      </c>
      <c r="B16" s="1500"/>
      <c r="C16" s="1501">
        <f>SUM(C13:C15)</f>
        <v>322</v>
      </c>
      <c r="D16" s="1502"/>
      <c r="E16" s="1151">
        <f>SUM(E13:E15)</f>
        <v>112</v>
      </c>
      <c r="F16" s="1133">
        <f>SUM(F13:F15)</f>
        <v>308</v>
      </c>
      <c r="G16" s="1152">
        <f t="shared" si="5"/>
        <v>0.34782608695652173</v>
      </c>
      <c r="H16" s="1151">
        <f>SUM(H13:H15)</f>
        <v>40</v>
      </c>
      <c r="I16" s="1133">
        <f>SUM(I13:I15)</f>
        <v>48</v>
      </c>
      <c r="J16" s="1152">
        <f t="shared" si="6"/>
        <v>0.12422360248447205</v>
      </c>
      <c r="K16" s="1151">
        <f>K13+K14+K15</f>
        <v>0</v>
      </c>
      <c r="L16" s="1133">
        <f>SUM(L13:L15)</f>
        <v>0</v>
      </c>
      <c r="M16" s="1154">
        <f t="shared" si="7"/>
        <v>0</v>
      </c>
      <c r="N16" s="1214">
        <f>SUM(N13:N15)</f>
        <v>126</v>
      </c>
      <c r="O16" s="1214">
        <f>SUM(O13:O15)</f>
        <v>349</v>
      </c>
      <c r="P16" s="1154">
        <f t="shared" si="8"/>
        <v>0.39130434782608697</v>
      </c>
      <c r="Q16" s="1165">
        <f>SUM(Q13:Q15)</f>
        <v>169</v>
      </c>
      <c r="R16" s="1146">
        <f>SUM(R13:R15)</f>
        <v>657</v>
      </c>
      <c r="S16" s="1155">
        <f t="shared" si="3"/>
        <v>0.52484472049689446</v>
      </c>
      <c r="T16" s="1163">
        <f>T13+T14+T15</f>
        <v>38</v>
      </c>
      <c r="U16" s="1145">
        <f>SUM(U13:U15)</f>
        <v>39</v>
      </c>
      <c r="V16" s="1155">
        <f>T16/C16</f>
        <v>0.11801242236024845</v>
      </c>
    </row>
    <row r="17" spans="1:22" ht="15.75" thickBot="1">
      <c r="A17" s="1466" t="s">
        <v>93</v>
      </c>
      <c r="B17" s="1467"/>
      <c r="C17" s="1490">
        <f>'XI-CEF''S'!B12</f>
        <v>59</v>
      </c>
      <c r="D17" s="1491"/>
      <c r="E17" s="1191">
        <v>44</v>
      </c>
      <c r="F17" s="1135">
        <f>45+84+83+28</f>
        <v>240</v>
      </c>
      <c r="G17" s="1153">
        <f t="shared" si="5"/>
        <v>0.74576271186440679</v>
      </c>
      <c r="H17" s="1191">
        <v>5</v>
      </c>
      <c r="I17" s="1135">
        <v>5</v>
      </c>
      <c r="J17" s="1153">
        <f t="shared" si="6"/>
        <v>8.4745762711864403E-2</v>
      </c>
      <c r="K17" s="1191">
        <v>0</v>
      </c>
      <c r="L17" s="1135">
        <v>0</v>
      </c>
      <c r="M17" s="1153">
        <f t="shared" si="7"/>
        <v>0</v>
      </c>
      <c r="N17" s="1175">
        <f>5+11+12</f>
        <v>28</v>
      </c>
      <c r="O17" s="1175">
        <f>8+19+26</f>
        <v>53</v>
      </c>
      <c r="P17" s="1153">
        <f t="shared" si="8"/>
        <v>0.47457627118644069</v>
      </c>
      <c r="Q17" s="1174">
        <f>7+13+19+7</f>
        <v>46</v>
      </c>
      <c r="R17" s="1175">
        <f>8+45+19+84+26+83+28</f>
        <v>293</v>
      </c>
      <c r="S17" s="1153">
        <f t="shared" si="3"/>
        <v>0.77966101694915257</v>
      </c>
      <c r="T17" s="1134">
        <v>22</v>
      </c>
      <c r="U17" s="1135">
        <v>22</v>
      </c>
      <c r="V17" s="1153">
        <f>T17/C17</f>
        <v>0.3728813559322034</v>
      </c>
    </row>
    <row r="18" spans="1:22" ht="16.5" customHeight="1" thickBot="1">
      <c r="A18" s="1492" t="s">
        <v>625</v>
      </c>
      <c r="B18" s="1492"/>
      <c r="C18" s="1493">
        <f>C12+C16+C17</f>
        <v>637</v>
      </c>
      <c r="D18" s="1494"/>
      <c r="E18" s="1151">
        <f>E12+E16+E17</f>
        <v>236</v>
      </c>
      <c r="F18" s="1133">
        <f>F12+F16+F17</f>
        <v>897</v>
      </c>
      <c r="G18" s="1152">
        <f>E18/(C12+C16+C17)</f>
        <v>0.3704866562009419</v>
      </c>
      <c r="H18" s="1151">
        <f>H12+H16+H17</f>
        <v>49</v>
      </c>
      <c r="I18" s="1133">
        <f>I12+I16+I17</f>
        <v>59</v>
      </c>
      <c r="J18" s="1152">
        <f>H18/(C10+C11+C13+C14+C15+C17)</f>
        <v>7.6923076923076927E-2</v>
      </c>
      <c r="K18" s="1151">
        <f>K12+K16+K17</f>
        <v>2</v>
      </c>
      <c r="L18" s="1133">
        <f>L12+L16+L17</f>
        <v>2</v>
      </c>
      <c r="M18" s="1154">
        <f t="shared" si="7"/>
        <v>3.1397174254317113E-3</v>
      </c>
      <c r="N18" s="1214">
        <f>N12+N16+N17</f>
        <v>233</v>
      </c>
      <c r="O18" s="1214">
        <f>O12+O16+O17</f>
        <v>589</v>
      </c>
      <c r="P18" s="1154">
        <f t="shared" si="8"/>
        <v>0.36577708006279436</v>
      </c>
      <c r="Q18" s="1165">
        <f>Q12+Q16+Q17</f>
        <v>300</v>
      </c>
      <c r="R18" s="1145">
        <f>R12+R16+R17</f>
        <v>1486</v>
      </c>
      <c r="S18" s="1155">
        <f t="shared" si="3"/>
        <v>0.47095761381475665</v>
      </c>
      <c r="T18" s="1163">
        <f>T12+T16+T17</f>
        <v>86</v>
      </c>
      <c r="U18" s="1145">
        <f>U12+U16+U17</f>
        <v>91</v>
      </c>
      <c r="V18" s="1155">
        <f>T18/C18</f>
        <v>0.13500784929356358</v>
      </c>
    </row>
    <row r="19" spans="1:22" ht="26.25" customHeight="1" thickBot="1">
      <c r="A19" s="1495" t="s">
        <v>586</v>
      </c>
      <c r="B19" s="1495"/>
      <c r="C19" s="1496">
        <f>C9+C12+C16+C17</f>
        <v>1134</v>
      </c>
      <c r="D19" s="1497"/>
      <c r="E19" s="1156">
        <f>E9+E18</f>
        <v>236</v>
      </c>
      <c r="F19" s="1157">
        <f>F9+F18</f>
        <v>897</v>
      </c>
      <c r="G19" s="1158">
        <f>E19/C19</f>
        <v>0.20811287477954143</v>
      </c>
      <c r="H19" s="1156">
        <f>H9+H18</f>
        <v>49</v>
      </c>
      <c r="I19" s="1157">
        <f>I9+I18</f>
        <v>59</v>
      </c>
      <c r="J19" s="1158">
        <f>H19/C19</f>
        <v>4.3209876543209874E-2</v>
      </c>
      <c r="K19" s="1156">
        <f>K9+K18</f>
        <v>2</v>
      </c>
      <c r="L19" s="1157">
        <f>L9+L18</f>
        <v>2</v>
      </c>
      <c r="M19" s="1159">
        <f t="shared" si="7"/>
        <v>1.7636684303350969E-3</v>
      </c>
      <c r="N19" s="1215">
        <f>N18+N9</f>
        <v>233</v>
      </c>
      <c r="O19" s="1215">
        <f>O18+O9</f>
        <v>589</v>
      </c>
      <c r="P19" s="1159">
        <f t="shared" si="8"/>
        <v>0.20546737213403879</v>
      </c>
      <c r="Q19" s="1166">
        <f>Q9+Q18</f>
        <v>300</v>
      </c>
      <c r="R19" s="1160">
        <f>R9+R18</f>
        <v>1486</v>
      </c>
      <c r="S19" s="1162">
        <f>Q19/C19</f>
        <v>0.26455026455026454</v>
      </c>
      <c r="T19" s="1164">
        <f>T9+T18</f>
        <v>87</v>
      </c>
      <c r="U19" s="1161">
        <f>U9+U18</f>
        <v>92</v>
      </c>
      <c r="V19" s="1162">
        <f>T19/C19</f>
        <v>7.6719576719576715E-2</v>
      </c>
    </row>
    <row r="20" spans="1:22" ht="41.25" customHeight="1" thickTop="1" thickBot="1">
      <c r="A20" s="1487" t="s">
        <v>606</v>
      </c>
      <c r="B20" s="1488"/>
      <c r="C20" s="1488"/>
      <c r="D20" s="1489"/>
      <c r="E20" s="1484">
        <f>F19/E19</f>
        <v>3.8008474576271185</v>
      </c>
      <c r="F20" s="1485"/>
      <c r="G20" s="1486"/>
      <c r="H20" s="1484">
        <f>I19/H19</f>
        <v>1.2040816326530612</v>
      </c>
      <c r="I20" s="1485"/>
      <c r="J20" s="1486"/>
      <c r="K20" s="1484">
        <f>L19/K19</f>
        <v>1</v>
      </c>
      <c r="L20" s="1485"/>
      <c r="M20" s="1486"/>
      <c r="N20" s="1484">
        <f>O19/N19</f>
        <v>2.5278969957081543</v>
      </c>
      <c r="O20" s="1485"/>
      <c r="P20" s="1486"/>
      <c r="Q20" s="1484">
        <f t="shared" ref="Q20" si="10">R19/Q19</f>
        <v>4.9533333333333331</v>
      </c>
      <c r="R20" s="1485"/>
      <c r="S20" s="1486"/>
      <c r="T20" s="1484">
        <f t="shared" ref="T20" si="11">U19/T19</f>
        <v>1.0574712643678161</v>
      </c>
      <c r="U20" s="1485"/>
      <c r="V20" s="1486"/>
    </row>
    <row r="21" spans="1:22" ht="41.25" customHeight="1" thickTop="1" thickBot="1">
      <c r="A21" s="1487" t="s">
        <v>626</v>
      </c>
      <c r="B21" s="1488"/>
      <c r="C21" s="1488"/>
      <c r="D21" s="1489"/>
      <c r="E21" s="1478">
        <f>(F12+F16)/(C12+C16)</f>
        <v>1.1366782006920415</v>
      </c>
      <c r="F21" s="1479"/>
      <c r="G21" s="1480"/>
      <c r="H21" s="1478">
        <f>(I12+I16)/(C12+C16)</f>
        <v>9.3425605536332182E-2</v>
      </c>
      <c r="I21" s="1479"/>
      <c r="J21" s="1480"/>
      <c r="K21" s="1478">
        <f>(L12+L16)/(C12+C16)</f>
        <v>3.4602076124567475E-3</v>
      </c>
      <c r="L21" s="1479"/>
      <c r="M21" s="1480"/>
      <c r="N21" s="1478">
        <f>(O12+O16)/(C12+C16)</f>
        <v>0.9273356401384083</v>
      </c>
      <c r="O21" s="1479"/>
      <c r="P21" s="1480"/>
      <c r="Q21" s="1478">
        <f>(R12+R16)/(C12+C16)</f>
        <v>2.0640138408304498</v>
      </c>
      <c r="R21" s="1479"/>
      <c r="S21" s="1480"/>
      <c r="T21" s="1478">
        <f>(U12+U16)/(C12+C16)</f>
        <v>0.11937716262975778</v>
      </c>
      <c r="U21" s="1479"/>
      <c r="V21" s="1480"/>
    </row>
    <row r="22" spans="1:22" ht="42" customHeight="1" thickTop="1" thickBot="1">
      <c r="A22" s="1487" t="s">
        <v>627</v>
      </c>
      <c r="B22" s="1488"/>
      <c r="C22" s="1488"/>
      <c r="D22" s="1489"/>
      <c r="E22" s="1478">
        <f>F18/C18</f>
        <v>1.4081632653061225</v>
      </c>
      <c r="F22" s="1479"/>
      <c r="G22" s="1480"/>
      <c r="H22" s="1478">
        <f>I18/C18</f>
        <v>9.2621664050235475E-2</v>
      </c>
      <c r="I22" s="1479"/>
      <c r="J22" s="1480"/>
      <c r="K22" s="1478">
        <f>L18/C18</f>
        <v>3.1397174254317113E-3</v>
      </c>
      <c r="L22" s="1479"/>
      <c r="M22" s="1480"/>
      <c r="N22" s="1478">
        <f>O18/C18</f>
        <v>0.92464678178963888</v>
      </c>
      <c r="O22" s="1479"/>
      <c r="P22" s="1480"/>
      <c r="Q22" s="1478">
        <f>R18/C18</f>
        <v>2.3328100470957613</v>
      </c>
      <c r="R22" s="1479"/>
      <c r="S22" s="1480"/>
      <c r="T22" s="1478">
        <f>U18/C18</f>
        <v>0.14285714285714285</v>
      </c>
      <c r="U22" s="1479"/>
      <c r="V22" s="1480"/>
    </row>
    <row r="23" spans="1:22" ht="38.25" customHeight="1" thickTop="1" thickBot="1">
      <c r="A23" s="1481" t="s">
        <v>628</v>
      </c>
      <c r="B23" s="1482"/>
      <c r="C23" s="1482"/>
      <c r="D23" s="1483"/>
      <c r="E23" s="1478">
        <f>F19/C19</f>
        <v>0.79100529100529104</v>
      </c>
      <c r="F23" s="1479"/>
      <c r="G23" s="1480"/>
      <c r="H23" s="1478">
        <f>I19/C19</f>
        <v>5.2028218694885359E-2</v>
      </c>
      <c r="I23" s="1479"/>
      <c r="J23" s="1480"/>
      <c r="K23" s="1478">
        <f>L19/C19</f>
        <v>1.7636684303350969E-3</v>
      </c>
      <c r="L23" s="1479"/>
      <c r="M23" s="1480"/>
      <c r="N23" s="1478">
        <f>O19/C19</f>
        <v>0.51940035273368612</v>
      </c>
      <c r="O23" s="1479"/>
      <c r="P23" s="1480"/>
      <c r="Q23" s="1478">
        <f>R19/C19</f>
        <v>1.3104056437389771</v>
      </c>
      <c r="R23" s="1479"/>
      <c r="S23" s="1480"/>
      <c r="T23" s="1478">
        <f>U19/C19</f>
        <v>8.1128747795414458E-2</v>
      </c>
      <c r="U23" s="1479"/>
      <c r="V23" s="1480"/>
    </row>
    <row r="24" spans="1:22" ht="13.5" thickTop="1">
      <c r="A24" s="1063"/>
      <c r="B24" s="1063"/>
      <c r="C24" s="1063"/>
      <c r="D24" s="1063"/>
      <c r="E24" s="1063"/>
      <c r="J24" s="1007"/>
      <c r="K24" s="1063"/>
      <c r="L24" s="1006"/>
      <c r="M24" s="1046"/>
      <c r="N24" s="1046"/>
      <c r="O24" s="1046"/>
      <c r="P24" s="1046"/>
      <c r="Q24" s="1046"/>
      <c r="R24" s="1046"/>
      <c r="S24" s="1046"/>
      <c r="T24" s="1046"/>
      <c r="U24" s="1046"/>
      <c r="V24" s="1046"/>
    </row>
    <row r="25" spans="1:22">
      <c r="E25" s="2"/>
    </row>
  </sheetData>
  <mergeCells count="67">
    <mergeCell ref="A4:B4"/>
    <mergeCell ref="C4:D4"/>
    <mergeCell ref="A2:V2"/>
    <mergeCell ref="E3:G3"/>
    <mergeCell ref="H3:J3"/>
    <mergeCell ref="K3:M3"/>
    <mergeCell ref="T3:V3"/>
    <mergeCell ref="Q3:S3"/>
    <mergeCell ref="N3:P3"/>
    <mergeCell ref="A5:B5"/>
    <mergeCell ref="C5:D5"/>
    <mergeCell ref="A6:B6"/>
    <mergeCell ref="C6:D6"/>
    <mergeCell ref="A7:B7"/>
    <mergeCell ref="C7:D7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B18"/>
    <mergeCell ref="C18:D18"/>
    <mergeCell ref="A19:B19"/>
    <mergeCell ref="C19:D19"/>
    <mergeCell ref="Q20:S20"/>
    <mergeCell ref="N20:P20"/>
    <mergeCell ref="A20:D20"/>
    <mergeCell ref="A22:D22"/>
    <mergeCell ref="A21:D21"/>
    <mergeCell ref="N21:P21"/>
    <mergeCell ref="N22:P22"/>
    <mergeCell ref="A23:D23"/>
    <mergeCell ref="Q23:S23"/>
    <mergeCell ref="H20:J20"/>
    <mergeCell ref="K20:M20"/>
    <mergeCell ref="T20:V20"/>
    <mergeCell ref="E22:G22"/>
    <mergeCell ref="H22:J22"/>
    <mergeCell ref="K22:M22"/>
    <mergeCell ref="T22:V22"/>
    <mergeCell ref="E20:G20"/>
    <mergeCell ref="E21:G21"/>
    <mergeCell ref="H21:J21"/>
    <mergeCell ref="K21:M21"/>
    <mergeCell ref="Q21:S21"/>
    <mergeCell ref="Q22:S22"/>
    <mergeCell ref="T21:V21"/>
    <mergeCell ref="N23:P23"/>
    <mergeCell ref="E23:G23"/>
    <mergeCell ref="H23:J23"/>
    <mergeCell ref="K23:M23"/>
    <mergeCell ref="T23:V23"/>
  </mergeCells>
  <pageMargins left="0.43307086614173229" right="0.19685039370078741" top="0.74803149606299213" bottom="0.74803149606299213" header="0.31496062992125984" footer="0.31496062992125984"/>
  <pageSetup orientation="landscape" r:id="rId1"/>
  <headerFooter>
    <oddHeader>&amp;L&amp;"Arial,Negrito"AGRUPAMENTO DE ESCOLAS MIGUEL TORGA&amp;R&amp;"Arial,Negrito"AUTOAVALIAÇÃO
3ºPeríodo  2012/13
Tabela XV</oddHeader>
    <oddFooter>&amp;R16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14B0"/>
    <pageSetUpPr fitToPage="1"/>
  </sheetPr>
  <dimension ref="A1:AV71"/>
  <sheetViews>
    <sheetView zoomScale="84" zoomScaleNormal="84" zoomScaleSheetLayoutView="50" workbookViewId="0">
      <selection activeCell="B6" sqref="B6"/>
    </sheetView>
  </sheetViews>
  <sheetFormatPr defaultRowHeight="12.75"/>
  <cols>
    <col min="1" max="16" width="6.7109375" customWidth="1"/>
    <col min="17" max="17" width="6.7109375" style="191" customWidth="1"/>
    <col min="18" max="23" width="6.7109375" customWidth="1"/>
    <col min="24" max="28" width="6.7109375" style="191" customWidth="1"/>
    <col min="29" max="31" width="9.140625" style="191"/>
    <col min="33" max="33" width="11.140625" customWidth="1"/>
    <col min="34" max="34" width="7.42578125" customWidth="1"/>
    <col min="35" max="35" width="7.7109375" customWidth="1"/>
    <col min="36" max="36" width="12.42578125" customWidth="1"/>
    <col min="39" max="39" width="13" customWidth="1"/>
    <col min="42" max="42" width="13.28515625" customWidth="1"/>
    <col min="45" max="45" width="12.28515625" customWidth="1"/>
  </cols>
  <sheetData>
    <row r="1" spans="1:48" ht="13.5" customHeight="1" thickBot="1"/>
    <row r="2" spans="1:48" ht="28.5" customHeight="1" thickBot="1">
      <c r="AG2" s="1556" t="s">
        <v>463</v>
      </c>
      <c r="AH2" s="1549" t="s">
        <v>161</v>
      </c>
      <c r="AI2" s="1549"/>
      <c r="AJ2" s="1549"/>
      <c r="AK2" s="1550" t="s">
        <v>464</v>
      </c>
      <c r="AL2" s="1550"/>
      <c r="AM2" s="1550"/>
      <c r="AN2" s="1551" t="s">
        <v>457</v>
      </c>
      <c r="AO2" s="1551"/>
      <c r="AP2" s="1551"/>
      <c r="AQ2" s="1552" t="s">
        <v>487</v>
      </c>
      <c r="AR2" s="1552"/>
      <c r="AS2" s="1552"/>
    </row>
    <row r="3" spans="1:48" ht="27.75" customHeight="1" thickBot="1">
      <c r="A3" s="1558" t="s">
        <v>507</v>
      </c>
      <c r="B3" s="1558"/>
      <c r="C3" s="1558"/>
      <c r="D3" s="1558"/>
      <c r="E3" s="1558"/>
      <c r="F3" s="1558"/>
      <c r="G3" s="1558"/>
      <c r="H3" s="1558"/>
      <c r="I3" s="1558"/>
      <c r="J3" s="1558"/>
      <c r="K3" s="1558"/>
      <c r="L3" s="1558"/>
      <c r="M3" s="1558"/>
      <c r="N3" s="1558"/>
      <c r="O3" s="1558"/>
      <c r="P3" s="1558"/>
      <c r="Q3" s="1558"/>
      <c r="R3" s="1558"/>
      <c r="S3" s="1559"/>
      <c r="T3" s="1559"/>
      <c r="U3" s="1559"/>
      <c r="V3" s="1559"/>
      <c r="W3" s="1559"/>
      <c r="AG3" s="1556"/>
      <c r="AH3" s="576" t="s">
        <v>458</v>
      </c>
      <c r="AI3" s="576" t="s">
        <v>474</v>
      </c>
      <c r="AJ3" s="568" t="s">
        <v>471</v>
      </c>
      <c r="AK3" s="569" t="s">
        <v>458</v>
      </c>
      <c r="AL3" s="569" t="s">
        <v>475</v>
      </c>
      <c r="AM3" s="568" t="s">
        <v>471</v>
      </c>
      <c r="AN3" s="570" t="s">
        <v>458</v>
      </c>
      <c r="AO3" s="570" t="s">
        <v>174</v>
      </c>
      <c r="AP3" s="568" t="s">
        <v>471</v>
      </c>
      <c r="AQ3" s="571" t="s">
        <v>458</v>
      </c>
      <c r="AR3" s="572" t="s">
        <v>408</v>
      </c>
      <c r="AS3" s="568" t="s">
        <v>471</v>
      </c>
    </row>
    <row r="4" spans="1:48" ht="15" customHeight="1" thickBot="1">
      <c r="A4" s="208"/>
      <c r="B4" s="208"/>
      <c r="C4" s="209"/>
      <c r="D4" s="209"/>
      <c r="E4" s="209"/>
      <c r="F4" s="208"/>
      <c r="G4" s="208"/>
      <c r="H4" s="209"/>
      <c r="I4" s="209"/>
      <c r="J4" s="209"/>
      <c r="K4" s="208"/>
      <c r="L4" s="208"/>
      <c r="M4" s="209"/>
      <c r="N4" s="209"/>
      <c r="O4" s="209"/>
      <c r="P4" s="208"/>
      <c r="Q4" s="208"/>
      <c r="R4" s="208"/>
      <c r="S4" s="210"/>
      <c r="T4" s="211"/>
      <c r="U4" s="211"/>
      <c r="V4" s="211"/>
      <c r="W4" s="211"/>
      <c r="AG4" s="573" t="s">
        <v>127</v>
      </c>
      <c r="AH4" s="578">
        <f>B21</f>
        <v>0</v>
      </c>
      <c r="AI4" s="586">
        <f>F21</f>
        <v>0</v>
      </c>
      <c r="AJ4" s="1553"/>
      <c r="AK4" s="590">
        <f>G21</f>
        <v>0</v>
      </c>
      <c r="AL4" s="578">
        <f>K21</f>
        <v>0</v>
      </c>
      <c r="AM4" s="1553"/>
      <c r="AN4" s="578"/>
      <c r="AO4" s="578">
        <f>W21</f>
        <v>0</v>
      </c>
      <c r="AP4" s="1553"/>
      <c r="AQ4" s="578"/>
      <c r="AR4" s="578">
        <f>AB21</f>
        <v>0</v>
      </c>
      <c r="AS4" s="1553"/>
    </row>
    <row r="5" spans="1:48" s="234" customFormat="1" ht="36" customHeight="1" thickBot="1">
      <c r="A5" s="707"/>
      <c r="B5" s="708"/>
      <c r="C5" s="1560" t="s">
        <v>161</v>
      </c>
      <c r="D5" s="1561"/>
      <c r="E5" s="1561"/>
      <c r="F5" s="239" t="s">
        <v>168</v>
      </c>
      <c r="G5" s="136"/>
      <c r="H5" s="1562" t="s">
        <v>508</v>
      </c>
      <c r="I5" s="1563"/>
      <c r="J5" s="1563"/>
      <c r="K5" s="240" t="s">
        <v>170</v>
      </c>
      <c r="L5" s="137"/>
      <c r="M5" s="1564" t="s">
        <v>509</v>
      </c>
      <c r="N5" s="1564"/>
      <c r="O5" s="1564"/>
      <c r="P5" s="687" t="s">
        <v>172</v>
      </c>
      <c r="Q5" s="1566" t="s">
        <v>262</v>
      </c>
      <c r="R5" s="1566" t="s">
        <v>253</v>
      </c>
      <c r="S5" s="138"/>
      <c r="T5" s="1565" t="s">
        <v>162</v>
      </c>
      <c r="U5" s="1565"/>
      <c r="V5" s="1565"/>
      <c r="W5" s="709" t="s">
        <v>174</v>
      </c>
      <c r="X5" s="138"/>
      <c r="Y5" s="1557" t="s">
        <v>407</v>
      </c>
      <c r="Z5" s="1557"/>
      <c r="AA5" s="1557"/>
      <c r="AB5" s="710" t="s">
        <v>408</v>
      </c>
      <c r="AC5" s="711"/>
      <c r="AD5" s="711"/>
      <c r="AE5" s="711"/>
      <c r="AG5" s="712" t="s">
        <v>178</v>
      </c>
      <c r="AH5" s="713">
        <f>SUM(AH4:AH4)</f>
        <v>0</v>
      </c>
      <c r="AI5" s="714">
        <f>SUM(AI4:AI4)</f>
        <v>0</v>
      </c>
      <c r="AJ5" s="1553"/>
      <c r="AK5" s="715">
        <f>SUM(AK4:AK4)</f>
        <v>0</v>
      </c>
      <c r="AL5" s="716">
        <f>SUM(AL4:AL4)</f>
        <v>0</v>
      </c>
      <c r="AM5" s="1553"/>
      <c r="AN5" s="717" t="e">
        <f>#REF!+AN4</f>
        <v>#REF!</v>
      </c>
      <c r="AO5" s="718">
        <f>W22</f>
        <v>0</v>
      </c>
      <c r="AP5" s="1553"/>
      <c r="AQ5" s="719" t="e">
        <f>#REF!+AQ4</f>
        <v>#REF!</v>
      </c>
      <c r="AR5" s="718">
        <f>AB22</f>
        <v>0</v>
      </c>
      <c r="AS5" s="1553"/>
    </row>
    <row r="6" spans="1:48" s="729" customFormat="1" ht="27.75" customHeight="1" thickBot="1">
      <c r="A6" s="720" t="s">
        <v>163</v>
      </c>
      <c r="B6" s="721" t="s">
        <v>164</v>
      </c>
      <c r="C6" s="722" t="s">
        <v>165</v>
      </c>
      <c r="D6" s="722" t="s">
        <v>166</v>
      </c>
      <c r="E6" s="722" t="s">
        <v>167</v>
      </c>
      <c r="F6" s="723" t="s">
        <v>326</v>
      </c>
      <c r="G6" s="724" t="s">
        <v>169</v>
      </c>
      <c r="H6" s="722" t="s">
        <v>165</v>
      </c>
      <c r="I6" s="722" t="s">
        <v>166</v>
      </c>
      <c r="J6" s="722" t="s">
        <v>167</v>
      </c>
      <c r="K6" s="723" t="s">
        <v>326</v>
      </c>
      <c r="L6" s="725" t="s">
        <v>171</v>
      </c>
      <c r="M6" s="722" t="s">
        <v>165</v>
      </c>
      <c r="N6" s="722" t="s">
        <v>166</v>
      </c>
      <c r="O6" s="722" t="s">
        <v>167</v>
      </c>
      <c r="P6" s="723" t="s">
        <v>326</v>
      </c>
      <c r="Q6" s="1567"/>
      <c r="R6" s="1567"/>
      <c r="S6" s="726" t="s">
        <v>173</v>
      </c>
      <c r="T6" s="722" t="s">
        <v>165</v>
      </c>
      <c r="U6" s="722" t="s">
        <v>166</v>
      </c>
      <c r="V6" s="722" t="s">
        <v>167</v>
      </c>
      <c r="W6" s="723" t="s">
        <v>326</v>
      </c>
      <c r="X6" s="727" t="s">
        <v>409</v>
      </c>
      <c r="Y6" s="722" t="s">
        <v>165</v>
      </c>
      <c r="Z6" s="722" t="s">
        <v>166</v>
      </c>
      <c r="AA6" s="722" t="s">
        <v>167</v>
      </c>
      <c r="AB6" s="723" t="s">
        <v>326</v>
      </c>
      <c r="AC6" s="728"/>
      <c r="AD6" s="728"/>
      <c r="AE6" s="728"/>
      <c r="AG6" s="575" t="s">
        <v>130</v>
      </c>
      <c r="AH6" s="730">
        <f>B29</f>
        <v>0</v>
      </c>
      <c r="AI6" s="731">
        <f>F29</f>
        <v>0</v>
      </c>
      <c r="AJ6" s="1553"/>
      <c r="AK6" s="732">
        <f>G29</f>
        <v>0</v>
      </c>
      <c r="AL6" s="730">
        <f>K29</f>
        <v>0</v>
      </c>
      <c r="AM6" s="1553"/>
      <c r="AN6" s="730"/>
      <c r="AO6" s="730">
        <v>31</v>
      </c>
      <c r="AP6" s="1553"/>
      <c r="AQ6" s="730"/>
      <c r="AR6" s="730">
        <f>AB29</f>
        <v>0</v>
      </c>
      <c r="AS6" s="1553"/>
    </row>
    <row r="7" spans="1:48" ht="16.5" customHeight="1" thickBot="1">
      <c r="A7" s="139" t="s">
        <v>12</v>
      </c>
      <c r="B7" s="356"/>
      <c r="C7" s="349"/>
      <c r="D7" s="349"/>
      <c r="E7" s="365"/>
      <c r="F7" s="350">
        <f>C7+D7+E7</f>
        <v>0</v>
      </c>
      <c r="G7" s="357"/>
      <c r="H7" s="349"/>
      <c r="I7" s="349"/>
      <c r="J7" s="365"/>
      <c r="K7" s="350">
        <f>SUM(H7:J7)</f>
        <v>0</v>
      </c>
      <c r="L7" s="360">
        <v>0</v>
      </c>
      <c r="M7" s="349">
        <v>0</v>
      </c>
      <c r="N7" s="349"/>
      <c r="O7" s="365"/>
      <c r="P7" s="350">
        <f t="shared" ref="P7:P21" si="0">M7+N7+O7</f>
        <v>0</v>
      </c>
      <c r="Q7" s="346"/>
      <c r="R7" s="346">
        <f t="shared" ref="R7:R13" si="1">F7+K7+P7</f>
        <v>0</v>
      </c>
      <c r="S7" s="366"/>
      <c r="T7" s="349"/>
      <c r="U7" s="349"/>
      <c r="V7" s="365"/>
      <c r="W7" s="350">
        <f t="shared" ref="W7:W21" si="2">T7+U7+V7</f>
        <v>0</v>
      </c>
      <c r="X7" s="739"/>
      <c r="Y7" s="734"/>
      <c r="Z7" s="349"/>
      <c r="AA7" s="365"/>
      <c r="AB7" s="350">
        <f>Y7+Z7+AA7</f>
        <v>0</v>
      </c>
      <c r="AG7" s="573" t="s">
        <v>131</v>
      </c>
      <c r="AH7" s="577">
        <f>B35</f>
        <v>0</v>
      </c>
      <c r="AI7" s="585">
        <f>F35</f>
        <v>0</v>
      </c>
      <c r="AJ7" s="1553"/>
      <c r="AK7" s="589">
        <f>G35</f>
        <v>0</v>
      </c>
      <c r="AL7" s="577">
        <f>K35</f>
        <v>0</v>
      </c>
      <c r="AM7" s="1553"/>
      <c r="AN7" s="577"/>
      <c r="AO7" s="577">
        <f>W35</f>
        <v>0</v>
      </c>
      <c r="AP7" s="1553"/>
      <c r="AQ7" s="577"/>
      <c r="AR7" s="577">
        <f>AB35</f>
        <v>0</v>
      </c>
      <c r="AS7" s="1553"/>
    </row>
    <row r="8" spans="1:48" ht="17.25" customHeight="1" thickBot="1">
      <c r="A8" s="139" t="s">
        <v>11</v>
      </c>
      <c r="B8" s="356"/>
      <c r="C8" s="349"/>
      <c r="D8" s="349"/>
      <c r="E8" s="365"/>
      <c r="F8" s="350">
        <f t="shared" ref="F8:F13" si="3">C8+D8+E8</f>
        <v>0</v>
      </c>
      <c r="G8" s="357"/>
      <c r="H8" s="349"/>
      <c r="I8" s="349"/>
      <c r="J8" s="365"/>
      <c r="K8" s="350">
        <f t="shared" ref="K8:K13" si="4">SUM(H8:J8)</f>
        <v>0</v>
      </c>
      <c r="L8" s="360">
        <v>0</v>
      </c>
      <c r="M8" s="349">
        <v>0</v>
      </c>
      <c r="N8" s="349"/>
      <c r="O8" s="365"/>
      <c r="P8" s="350">
        <f t="shared" si="0"/>
        <v>0</v>
      </c>
      <c r="Q8" s="346"/>
      <c r="R8" s="346">
        <f t="shared" si="1"/>
        <v>0</v>
      </c>
      <c r="S8" s="366"/>
      <c r="T8" s="349"/>
      <c r="U8" s="349"/>
      <c r="V8" s="365"/>
      <c r="W8" s="350">
        <f t="shared" si="2"/>
        <v>0</v>
      </c>
      <c r="X8" s="739"/>
      <c r="Y8" s="734"/>
      <c r="Z8" s="349"/>
      <c r="AA8" s="365"/>
      <c r="AB8" s="350">
        <f t="shared" ref="AB8:AB21" si="5">Y8+Z8+AA8</f>
        <v>0</v>
      </c>
      <c r="AG8" s="573" t="s">
        <v>132</v>
      </c>
      <c r="AH8" s="578">
        <f>B40</f>
        <v>0</v>
      </c>
      <c r="AI8" s="586">
        <f>F40</f>
        <v>0</v>
      </c>
      <c r="AJ8" s="1553"/>
      <c r="AK8" s="590">
        <f>G40</f>
        <v>0</v>
      </c>
      <c r="AL8" s="578">
        <f>K40</f>
        <v>0</v>
      </c>
      <c r="AM8" s="1553"/>
      <c r="AN8" s="578"/>
      <c r="AO8" s="578">
        <f>W40</f>
        <v>0</v>
      </c>
      <c r="AP8" s="1553"/>
      <c r="AQ8" s="578"/>
      <c r="AR8" s="578">
        <f>AB40</f>
        <v>0</v>
      </c>
      <c r="AS8" s="1553"/>
    </row>
    <row r="9" spans="1:48" ht="21" customHeight="1" thickBot="1">
      <c r="A9" s="139" t="s">
        <v>10</v>
      </c>
      <c r="B9" s="356"/>
      <c r="C9" s="349"/>
      <c r="D9" s="349"/>
      <c r="E9" s="365"/>
      <c r="F9" s="350">
        <f t="shared" si="3"/>
        <v>0</v>
      </c>
      <c r="G9" s="357"/>
      <c r="H9" s="349"/>
      <c r="I9" s="349"/>
      <c r="J9" s="365"/>
      <c r="K9" s="350">
        <f t="shared" si="4"/>
        <v>0</v>
      </c>
      <c r="L9" s="360">
        <v>0</v>
      </c>
      <c r="M9" s="349">
        <v>0</v>
      </c>
      <c r="N9" s="349"/>
      <c r="O9" s="365"/>
      <c r="P9" s="350">
        <f t="shared" si="0"/>
        <v>0</v>
      </c>
      <c r="Q9" s="346"/>
      <c r="R9" s="346">
        <f t="shared" si="1"/>
        <v>0</v>
      </c>
      <c r="S9" s="366"/>
      <c r="T9" s="349"/>
      <c r="U9" s="349"/>
      <c r="V9" s="365"/>
      <c r="W9" s="350">
        <f t="shared" si="2"/>
        <v>0</v>
      </c>
      <c r="X9" s="739"/>
      <c r="Y9" s="734"/>
      <c r="Z9" s="349"/>
      <c r="AA9" s="365"/>
      <c r="AB9" s="350">
        <f t="shared" si="5"/>
        <v>0</v>
      </c>
      <c r="AG9" s="574" t="s">
        <v>186</v>
      </c>
      <c r="AH9" s="579">
        <f>SUM(AH6:AH8)</f>
        <v>0</v>
      </c>
      <c r="AI9" s="587">
        <f>SUM(AI6:AI8)</f>
        <v>0</v>
      </c>
      <c r="AJ9" s="1553"/>
      <c r="AK9" s="591">
        <f>SUM(AK6:AK8)</f>
        <v>0</v>
      </c>
      <c r="AL9" s="580">
        <f>SUM(AL6:AL8)</f>
        <v>0</v>
      </c>
      <c r="AM9" s="1553"/>
      <c r="AN9" s="582">
        <f>AN6+AN7+AN8</f>
        <v>0</v>
      </c>
      <c r="AO9" s="583">
        <f>SUM(AO6:AO8)</f>
        <v>31</v>
      </c>
      <c r="AP9" s="1553"/>
      <c r="AQ9" s="584">
        <f>SUM(AQ6:AQ8)</f>
        <v>0</v>
      </c>
      <c r="AR9" s="583">
        <f>SUM(AR6:AR8)</f>
        <v>0</v>
      </c>
      <c r="AS9" s="1553"/>
    </row>
    <row r="10" spans="1:48" ht="15.75" thickBot="1">
      <c r="A10" s="139" t="s">
        <v>9</v>
      </c>
      <c r="B10" s="356"/>
      <c r="C10" s="349"/>
      <c r="D10" s="349"/>
      <c r="E10" s="365"/>
      <c r="F10" s="350">
        <f t="shared" si="3"/>
        <v>0</v>
      </c>
      <c r="G10" s="357"/>
      <c r="H10" s="349"/>
      <c r="I10" s="349"/>
      <c r="J10" s="365"/>
      <c r="K10" s="350">
        <f t="shared" si="4"/>
        <v>0</v>
      </c>
      <c r="L10" s="360">
        <v>0</v>
      </c>
      <c r="M10" s="349">
        <v>0</v>
      </c>
      <c r="N10" s="349"/>
      <c r="O10" s="365"/>
      <c r="P10" s="350">
        <f t="shared" si="0"/>
        <v>0</v>
      </c>
      <c r="Q10" s="346"/>
      <c r="R10" s="346">
        <f t="shared" si="1"/>
        <v>0</v>
      </c>
      <c r="S10" s="366"/>
      <c r="T10" s="349"/>
      <c r="U10" s="349"/>
      <c r="V10" s="365"/>
      <c r="W10" s="350">
        <f t="shared" si="2"/>
        <v>0</v>
      </c>
      <c r="X10" s="739"/>
      <c r="Y10" s="734"/>
      <c r="Z10" s="349"/>
      <c r="AA10" s="365"/>
      <c r="AB10" s="350">
        <f t="shared" si="5"/>
        <v>0</v>
      </c>
      <c r="AG10" s="575" t="s">
        <v>93</v>
      </c>
      <c r="AH10" s="581">
        <f>B46</f>
        <v>0</v>
      </c>
      <c r="AI10" s="588">
        <f>F46</f>
        <v>0</v>
      </c>
      <c r="AJ10" s="1553"/>
      <c r="AK10" s="592">
        <f>G46</f>
        <v>0</v>
      </c>
      <c r="AL10" s="581">
        <f>K46</f>
        <v>0</v>
      </c>
      <c r="AM10" s="1553"/>
      <c r="AN10" s="581"/>
      <c r="AO10" s="581">
        <f>W46</f>
        <v>0</v>
      </c>
      <c r="AP10" s="1553"/>
      <c r="AQ10" s="581"/>
      <c r="AR10" s="581">
        <f>AB46</f>
        <v>0</v>
      </c>
      <c r="AS10" s="1553"/>
    </row>
    <row r="11" spans="1:48" ht="15.75" thickBot="1">
      <c r="A11" s="139" t="s">
        <v>8</v>
      </c>
      <c r="B11" s="356"/>
      <c r="C11" s="349"/>
      <c r="D11" s="349"/>
      <c r="E11" s="365"/>
      <c r="F11" s="350">
        <f>SUM(C11:E11)</f>
        <v>0</v>
      </c>
      <c r="G11" s="357"/>
      <c r="H11" s="349"/>
      <c r="I11" s="349"/>
      <c r="J11" s="365"/>
      <c r="K11" s="350">
        <f t="shared" si="4"/>
        <v>0</v>
      </c>
      <c r="L11" s="360">
        <v>0</v>
      </c>
      <c r="M11" s="349">
        <v>0</v>
      </c>
      <c r="N11" s="349"/>
      <c r="O11" s="365"/>
      <c r="P11" s="350">
        <f t="shared" si="0"/>
        <v>0</v>
      </c>
      <c r="Q11" s="346"/>
      <c r="R11" s="346">
        <f t="shared" si="1"/>
        <v>0</v>
      </c>
      <c r="S11" s="366"/>
      <c r="T11" s="349"/>
      <c r="U11" s="349"/>
      <c r="V11" s="365"/>
      <c r="W11" s="350">
        <f t="shared" si="2"/>
        <v>0</v>
      </c>
      <c r="X11" s="739"/>
      <c r="Y11" s="734"/>
      <c r="Z11" s="349"/>
      <c r="AA11" s="365"/>
      <c r="AB11" s="350">
        <f t="shared" si="5"/>
        <v>0</v>
      </c>
      <c r="AG11" s="705"/>
      <c r="AH11" s="706"/>
      <c r="AI11" s="706"/>
      <c r="AJ11" s="1554"/>
      <c r="AK11" s="706"/>
      <c r="AL11" s="706"/>
      <c r="AM11" s="1554"/>
      <c r="AN11" s="706"/>
      <c r="AO11" s="706"/>
      <c r="AP11" s="1554"/>
      <c r="AQ11" s="706"/>
      <c r="AR11" s="706"/>
      <c r="AS11" s="1554"/>
    </row>
    <row r="12" spans="1:48" ht="15.75" thickBot="1">
      <c r="A12" s="139" t="s">
        <v>502</v>
      </c>
      <c r="B12" s="356"/>
      <c r="C12" s="349"/>
      <c r="D12" s="349"/>
      <c r="E12" s="365"/>
      <c r="F12" s="350">
        <f>SUM(C12:E12)</f>
        <v>0</v>
      </c>
      <c r="G12" s="357"/>
      <c r="H12" s="349"/>
      <c r="I12" s="349"/>
      <c r="J12" s="365"/>
      <c r="K12" s="350">
        <f t="shared" si="4"/>
        <v>0</v>
      </c>
      <c r="L12" s="360">
        <v>0</v>
      </c>
      <c r="M12" s="349">
        <v>0</v>
      </c>
      <c r="N12" s="349"/>
      <c r="O12" s="365"/>
      <c r="P12" s="350">
        <f t="shared" si="0"/>
        <v>0</v>
      </c>
      <c r="Q12" s="346"/>
      <c r="R12" s="346">
        <f t="shared" si="1"/>
        <v>0</v>
      </c>
      <c r="S12" s="366"/>
      <c r="T12" s="349"/>
      <c r="U12" s="349"/>
      <c r="V12" s="365"/>
      <c r="W12" s="350">
        <f t="shared" si="2"/>
        <v>0</v>
      </c>
      <c r="X12" s="739"/>
      <c r="Y12" s="734"/>
      <c r="Z12" s="349"/>
      <c r="AA12" s="365"/>
      <c r="AB12" s="350">
        <f t="shared" si="5"/>
        <v>0</v>
      </c>
      <c r="AG12" s="705"/>
      <c r="AH12" s="706"/>
      <c r="AI12" s="706"/>
      <c r="AJ12" s="1554"/>
      <c r="AK12" s="706"/>
      <c r="AL12" s="706"/>
      <c r="AM12" s="1554"/>
      <c r="AN12" s="706"/>
      <c r="AO12" s="706"/>
      <c r="AP12" s="1554"/>
      <c r="AQ12" s="706"/>
      <c r="AR12" s="706"/>
      <c r="AS12" s="1554"/>
    </row>
    <row r="13" spans="1:48" ht="19.5" thickBot="1">
      <c r="A13" s="139" t="s">
        <v>503</v>
      </c>
      <c r="B13" s="356"/>
      <c r="C13" s="349"/>
      <c r="D13" s="349"/>
      <c r="E13" s="365"/>
      <c r="F13" s="350">
        <f t="shared" si="3"/>
        <v>0</v>
      </c>
      <c r="G13" s="357"/>
      <c r="H13" s="349"/>
      <c r="I13" s="349"/>
      <c r="J13" s="365"/>
      <c r="K13" s="350">
        <f t="shared" si="4"/>
        <v>0</v>
      </c>
      <c r="L13" s="360">
        <v>0</v>
      </c>
      <c r="M13" s="349">
        <v>0</v>
      </c>
      <c r="N13" s="349"/>
      <c r="O13" s="365"/>
      <c r="P13" s="350">
        <f t="shared" si="0"/>
        <v>0</v>
      </c>
      <c r="Q13" s="346"/>
      <c r="R13" s="346">
        <f t="shared" si="1"/>
        <v>0</v>
      </c>
      <c r="S13" s="366"/>
      <c r="T13" s="349"/>
      <c r="U13" s="349"/>
      <c r="V13" s="365"/>
      <c r="W13" s="350">
        <f t="shared" si="2"/>
        <v>0</v>
      </c>
      <c r="X13" s="739"/>
      <c r="Y13" s="734"/>
      <c r="Z13" s="349"/>
      <c r="AA13" s="365"/>
      <c r="AB13" s="350">
        <f t="shared" si="5"/>
        <v>0</v>
      </c>
      <c r="AG13" s="672" t="s">
        <v>7</v>
      </c>
      <c r="AH13" s="673">
        <f>AH5+AH9+AH10</f>
        <v>0</v>
      </c>
      <c r="AI13" s="674">
        <f>AI5+AI9+AI10</f>
        <v>0</v>
      </c>
      <c r="AJ13" s="1555"/>
      <c r="AK13" s="676">
        <f>AK5+AK9+AK10</f>
        <v>0</v>
      </c>
      <c r="AL13" s="677">
        <f>AL5+AL9+AL10</f>
        <v>0</v>
      </c>
      <c r="AM13" s="1555"/>
      <c r="AN13" s="678" t="e">
        <f>AN5+AN9+AN10</f>
        <v>#REF!</v>
      </c>
      <c r="AO13" s="679">
        <f>W47</f>
        <v>0</v>
      </c>
      <c r="AP13" s="1555"/>
      <c r="AQ13" s="680" t="e">
        <f>AQ5+AQ9+AQ10</f>
        <v>#REF!</v>
      </c>
      <c r="AR13" s="679">
        <f>AB47</f>
        <v>0</v>
      </c>
      <c r="AS13" s="1555"/>
    </row>
    <row r="14" spans="1:48" s="228" customFormat="1" ht="26.25" thickBot="1">
      <c r="A14" s="140" t="s">
        <v>175</v>
      </c>
      <c r="B14" s="353">
        <f>SUM(B8:B13)</f>
        <v>0</v>
      </c>
      <c r="C14" s="347">
        <f>SUM(C7:C13)</f>
        <v>0</v>
      </c>
      <c r="D14" s="347">
        <f t="shared" ref="D14:O14" si="6">SUM(D7:D13)</f>
        <v>0</v>
      </c>
      <c r="E14" s="347">
        <f t="shared" si="6"/>
        <v>0</v>
      </c>
      <c r="F14" s="347">
        <f t="shared" si="6"/>
        <v>0</v>
      </c>
      <c r="G14" s="358">
        <f t="shared" si="6"/>
        <v>0</v>
      </c>
      <c r="H14" s="347">
        <f t="shared" si="6"/>
        <v>0</v>
      </c>
      <c r="I14" s="347">
        <f t="shared" si="6"/>
        <v>0</v>
      </c>
      <c r="J14" s="347">
        <f t="shared" si="6"/>
        <v>0</v>
      </c>
      <c r="K14" s="347">
        <f t="shared" si="6"/>
        <v>0</v>
      </c>
      <c r="L14" s="361">
        <f t="shared" si="6"/>
        <v>0</v>
      </c>
      <c r="M14" s="347">
        <f t="shared" si="6"/>
        <v>0</v>
      </c>
      <c r="N14" s="347">
        <f t="shared" si="6"/>
        <v>0</v>
      </c>
      <c r="O14" s="347">
        <f t="shared" si="6"/>
        <v>0</v>
      </c>
      <c r="P14" s="350">
        <f t="shared" si="0"/>
        <v>0</v>
      </c>
      <c r="Q14" s="348">
        <f>SUM(Q7:Q13)</f>
        <v>0</v>
      </c>
      <c r="R14" s="347">
        <f>SUM(F14,K14,P14)</f>
        <v>0</v>
      </c>
      <c r="S14" s="367">
        <f>SUM(S7:S13)</f>
        <v>0</v>
      </c>
      <c r="T14" s="347">
        <f>SUM(T7:T13)</f>
        <v>0</v>
      </c>
      <c r="U14" s="347">
        <f>SUM(U7:U13)</f>
        <v>0</v>
      </c>
      <c r="V14" s="347">
        <f>SUM(V7:V13)</f>
        <v>0</v>
      </c>
      <c r="W14" s="350">
        <f t="shared" si="2"/>
        <v>0</v>
      </c>
      <c r="X14" s="376">
        <f>SUM(X7:X13)</f>
        <v>0</v>
      </c>
      <c r="Y14" s="347">
        <f>SUM(Y7:Y13)</f>
        <v>0</v>
      </c>
      <c r="Z14" s="347">
        <f>SUM(Z7:Z13)</f>
        <v>0</v>
      </c>
      <c r="AA14" s="347">
        <f>SUM(AA7:AA13)</f>
        <v>0</v>
      </c>
      <c r="AB14" s="350">
        <f t="shared" si="5"/>
        <v>0</v>
      </c>
      <c r="AC14" s="191"/>
      <c r="AD14" s="191"/>
      <c r="AE14" s="191"/>
      <c r="AF14" s="567"/>
      <c r="AG14" s="675" t="s">
        <v>149</v>
      </c>
      <c r="AH14" s="1531">
        <v>8.4499999999999993</v>
      </c>
      <c r="AI14" s="1532"/>
      <c r="AJ14" s="567"/>
      <c r="AK14" s="1533"/>
      <c r="AL14" s="1534"/>
      <c r="AM14" s="567"/>
      <c r="AN14" s="1531">
        <v>1.35</v>
      </c>
      <c r="AO14" s="1532"/>
      <c r="AP14" s="567"/>
      <c r="AQ14" s="1533"/>
      <c r="AR14" s="1534"/>
      <c r="AS14" s="567"/>
      <c r="AT14" s="567"/>
      <c r="AU14" s="567"/>
      <c r="AV14" s="567"/>
    </row>
    <row r="15" spans="1:48" ht="15">
      <c r="A15" s="139" t="s">
        <v>33</v>
      </c>
      <c r="B15" s="356"/>
      <c r="C15" s="349"/>
      <c r="D15" s="349"/>
      <c r="E15" s="365"/>
      <c r="F15" s="350">
        <f t="shared" ref="F15:F20" si="7">C15+D15+E15</f>
        <v>0</v>
      </c>
      <c r="G15" s="357"/>
      <c r="H15" s="349"/>
      <c r="I15" s="349"/>
      <c r="J15" s="365"/>
      <c r="K15" s="350">
        <f t="shared" ref="K15:K20" si="8">H15+I15+J15</f>
        <v>0</v>
      </c>
      <c r="L15" s="360">
        <v>0</v>
      </c>
      <c r="M15" s="349">
        <v>0</v>
      </c>
      <c r="N15" s="349"/>
      <c r="O15" s="365"/>
      <c r="P15" s="350">
        <f t="shared" si="0"/>
        <v>0</v>
      </c>
      <c r="Q15" s="346"/>
      <c r="R15" s="346">
        <f t="shared" ref="R15:R20" si="9">F15+K15+P15</f>
        <v>0</v>
      </c>
      <c r="S15" s="366"/>
      <c r="T15" s="349"/>
      <c r="U15" s="349"/>
      <c r="V15" s="365"/>
      <c r="W15" s="350">
        <f t="shared" si="2"/>
        <v>0</v>
      </c>
      <c r="X15" s="375"/>
      <c r="Y15" s="349"/>
      <c r="Z15" s="349"/>
      <c r="AA15" s="365"/>
      <c r="AB15" s="350">
        <f t="shared" si="5"/>
        <v>0</v>
      </c>
      <c r="AF15" s="567"/>
      <c r="AG15" s="567"/>
      <c r="AH15" s="567"/>
      <c r="AI15" s="567"/>
      <c r="AJ15" s="567"/>
      <c r="AK15" s="567"/>
      <c r="AL15" s="567"/>
      <c r="AM15" s="567"/>
      <c r="AN15" s="567"/>
      <c r="AO15" s="567"/>
      <c r="AP15" s="567"/>
      <c r="AQ15" s="567"/>
      <c r="AR15" s="567"/>
      <c r="AS15" s="567"/>
      <c r="AT15" s="567"/>
      <c r="AU15" s="567"/>
      <c r="AV15" s="567"/>
    </row>
    <row r="16" spans="1:48" ht="15">
      <c r="A16" s="139" t="s">
        <v>32</v>
      </c>
      <c r="B16" s="356"/>
      <c r="C16" s="349"/>
      <c r="D16" s="349"/>
      <c r="E16" s="365"/>
      <c r="F16" s="350">
        <f t="shared" si="7"/>
        <v>0</v>
      </c>
      <c r="G16" s="357"/>
      <c r="H16" s="349"/>
      <c r="I16" s="349"/>
      <c r="J16" s="365"/>
      <c r="K16" s="350">
        <f t="shared" si="8"/>
        <v>0</v>
      </c>
      <c r="L16" s="360">
        <v>0</v>
      </c>
      <c r="M16" s="349">
        <v>0</v>
      </c>
      <c r="N16" s="349"/>
      <c r="O16" s="365"/>
      <c r="P16" s="350">
        <f t="shared" si="0"/>
        <v>0</v>
      </c>
      <c r="Q16" s="346"/>
      <c r="R16" s="346">
        <f t="shared" si="9"/>
        <v>0</v>
      </c>
      <c r="S16" s="366"/>
      <c r="T16" s="349"/>
      <c r="U16" s="349"/>
      <c r="V16" s="365"/>
      <c r="W16" s="350">
        <f t="shared" si="2"/>
        <v>0</v>
      </c>
      <c r="X16" s="375"/>
      <c r="Y16" s="349"/>
      <c r="Z16" s="349"/>
      <c r="AA16" s="365"/>
      <c r="AB16" s="350">
        <f t="shared" si="5"/>
        <v>0</v>
      </c>
      <c r="AF16" s="567"/>
      <c r="AG16" s="567"/>
      <c r="AH16" s="567"/>
      <c r="AI16" s="567"/>
      <c r="AJ16" s="567"/>
      <c r="AK16" s="567"/>
      <c r="AL16" s="567"/>
      <c r="AM16" s="567"/>
      <c r="AN16" s="567"/>
      <c r="AO16" s="567"/>
      <c r="AP16" s="567"/>
      <c r="AQ16" s="567"/>
      <c r="AR16" s="567"/>
      <c r="AS16" s="567"/>
      <c r="AT16" s="567"/>
      <c r="AU16" s="567"/>
      <c r="AV16" s="567"/>
    </row>
    <row r="17" spans="1:31" ht="15">
      <c r="A17" s="139" t="s">
        <v>31</v>
      </c>
      <c r="B17" s="356"/>
      <c r="C17" s="349"/>
      <c r="D17" s="349"/>
      <c r="E17" s="365"/>
      <c r="F17" s="350">
        <f t="shared" si="7"/>
        <v>0</v>
      </c>
      <c r="G17" s="357"/>
      <c r="H17" s="349"/>
      <c r="I17" s="349"/>
      <c r="J17" s="365"/>
      <c r="K17" s="350">
        <f t="shared" si="8"/>
        <v>0</v>
      </c>
      <c r="L17" s="360">
        <v>0</v>
      </c>
      <c r="M17" s="349">
        <v>0</v>
      </c>
      <c r="N17" s="349"/>
      <c r="O17" s="365"/>
      <c r="P17" s="350">
        <f t="shared" si="0"/>
        <v>0</v>
      </c>
      <c r="Q17" s="346"/>
      <c r="R17" s="346">
        <f t="shared" si="9"/>
        <v>0</v>
      </c>
      <c r="S17" s="366"/>
      <c r="T17" s="349"/>
      <c r="U17" s="349"/>
      <c r="V17" s="365"/>
      <c r="W17" s="350">
        <f t="shared" si="2"/>
        <v>0</v>
      </c>
      <c r="X17" s="375"/>
      <c r="Y17" s="349"/>
      <c r="Z17" s="349"/>
      <c r="AA17" s="365"/>
      <c r="AB17" s="350">
        <f t="shared" si="5"/>
        <v>0</v>
      </c>
    </row>
    <row r="18" spans="1:31" ht="15">
      <c r="A18" s="139" t="s">
        <v>30</v>
      </c>
      <c r="B18" s="356"/>
      <c r="C18" s="349"/>
      <c r="D18" s="349"/>
      <c r="E18" s="365"/>
      <c r="F18" s="350">
        <f t="shared" si="7"/>
        <v>0</v>
      </c>
      <c r="G18" s="357"/>
      <c r="H18" s="349"/>
      <c r="I18" s="349"/>
      <c r="J18" s="365"/>
      <c r="K18" s="350">
        <f t="shared" si="8"/>
        <v>0</v>
      </c>
      <c r="L18" s="360">
        <v>0</v>
      </c>
      <c r="M18" s="349">
        <v>0</v>
      </c>
      <c r="N18" s="349"/>
      <c r="O18" s="365"/>
      <c r="P18" s="350">
        <f t="shared" si="0"/>
        <v>0</v>
      </c>
      <c r="Q18" s="346"/>
      <c r="R18" s="346">
        <f t="shared" si="9"/>
        <v>0</v>
      </c>
      <c r="S18" s="366"/>
      <c r="T18" s="349"/>
      <c r="U18" s="349"/>
      <c r="V18" s="365"/>
      <c r="W18" s="350">
        <f t="shared" si="2"/>
        <v>0</v>
      </c>
      <c r="X18" s="375"/>
      <c r="Y18" s="349"/>
      <c r="Z18" s="349"/>
      <c r="AA18" s="365"/>
      <c r="AB18" s="350">
        <f t="shared" si="5"/>
        <v>0</v>
      </c>
    </row>
    <row r="19" spans="1:31" ht="15">
      <c r="A19" s="139" t="s">
        <v>29</v>
      </c>
      <c r="B19" s="356"/>
      <c r="C19" s="349"/>
      <c r="D19" s="349"/>
      <c r="E19" s="365"/>
      <c r="F19" s="350">
        <f t="shared" si="7"/>
        <v>0</v>
      </c>
      <c r="G19" s="357"/>
      <c r="H19" s="349"/>
      <c r="I19" s="349"/>
      <c r="J19" s="365"/>
      <c r="K19" s="350">
        <f t="shared" si="8"/>
        <v>0</v>
      </c>
      <c r="L19" s="360">
        <v>0</v>
      </c>
      <c r="M19" s="349">
        <v>0</v>
      </c>
      <c r="N19" s="349"/>
      <c r="O19" s="365"/>
      <c r="P19" s="350">
        <f t="shared" si="0"/>
        <v>0</v>
      </c>
      <c r="Q19" s="346"/>
      <c r="R19" s="346">
        <f t="shared" si="9"/>
        <v>0</v>
      </c>
      <c r="S19" s="366"/>
      <c r="T19" s="349"/>
      <c r="U19" s="349"/>
      <c r="V19" s="365"/>
      <c r="W19" s="350">
        <f t="shared" si="2"/>
        <v>0</v>
      </c>
      <c r="X19" s="375"/>
      <c r="Y19" s="349"/>
      <c r="Z19" s="349"/>
      <c r="AA19" s="365"/>
      <c r="AB19" s="350">
        <f t="shared" si="5"/>
        <v>0</v>
      </c>
    </row>
    <row r="20" spans="1:31" s="149" customFormat="1" ht="15">
      <c r="A20" s="744" t="s">
        <v>176</v>
      </c>
      <c r="B20" s="733"/>
      <c r="C20" s="734"/>
      <c r="D20" s="734"/>
      <c r="E20" s="734"/>
      <c r="F20" s="347">
        <f t="shared" si="7"/>
        <v>0</v>
      </c>
      <c r="G20" s="735"/>
      <c r="H20" s="734"/>
      <c r="I20" s="734"/>
      <c r="J20" s="734"/>
      <c r="K20" s="347">
        <f t="shared" si="8"/>
        <v>0</v>
      </c>
      <c r="L20" s="736">
        <v>0</v>
      </c>
      <c r="M20" s="734">
        <v>0</v>
      </c>
      <c r="N20" s="734"/>
      <c r="O20" s="734"/>
      <c r="P20" s="347">
        <f t="shared" si="0"/>
        <v>0</v>
      </c>
      <c r="Q20" s="737"/>
      <c r="R20" s="737">
        <f t="shared" si="9"/>
        <v>0</v>
      </c>
      <c r="S20" s="738"/>
      <c r="T20" s="734"/>
      <c r="U20" s="734"/>
      <c r="V20" s="734"/>
      <c r="W20" s="347">
        <f t="shared" si="2"/>
        <v>0</v>
      </c>
      <c r="X20" s="739"/>
      <c r="Y20" s="734"/>
      <c r="Z20" s="734"/>
      <c r="AA20" s="734"/>
      <c r="AB20" s="347">
        <f t="shared" si="5"/>
        <v>0</v>
      </c>
      <c r="AC20" s="742"/>
      <c r="AD20" s="742"/>
      <c r="AE20" s="742"/>
    </row>
    <row r="21" spans="1:31" s="743" customFormat="1" ht="25.5">
      <c r="A21" s="140" t="s">
        <v>177</v>
      </c>
      <c r="B21" s="353">
        <f t="shared" ref="B21:O21" si="10">SUM(B15:B20)</f>
        <v>0</v>
      </c>
      <c r="C21" s="347">
        <f t="shared" si="10"/>
        <v>0</v>
      </c>
      <c r="D21" s="347">
        <f t="shared" si="10"/>
        <v>0</v>
      </c>
      <c r="E21" s="347">
        <f t="shared" si="10"/>
        <v>0</v>
      </c>
      <c r="F21" s="347">
        <f t="shared" si="10"/>
        <v>0</v>
      </c>
      <c r="G21" s="358">
        <f t="shared" si="10"/>
        <v>0</v>
      </c>
      <c r="H21" s="347">
        <f t="shared" si="10"/>
        <v>0</v>
      </c>
      <c r="I21" s="347">
        <f t="shared" si="10"/>
        <v>0</v>
      </c>
      <c r="J21" s="347">
        <f t="shared" si="10"/>
        <v>0</v>
      </c>
      <c r="K21" s="347">
        <f t="shared" si="10"/>
        <v>0</v>
      </c>
      <c r="L21" s="361">
        <f t="shared" si="10"/>
        <v>0</v>
      </c>
      <c r="M21" s="347">
        <f t="shared" si="10"/>
        <v>0</v>
      </c>
      <c r="N21" s="347">
        <f t="shared" si="10"/>
        <v>0</v>
      </c>
      <c r="O21" s="347">
        <f t="shared" si="10"/>
        <v>0</v>
      </c>
      <c r="P21" s="347">
        <f t="shared" si="0"/>
        <v>0</v>
      </c>
      <c r="Q21" s="347">
        <f t="shared" ref="Q21:V21" si="11">SUM(Q15:Q20)</f>
        <v>0</v>
      </c>
      <c r="R21" s="347">
        <f t="shared" si="11"/>
        <v>0</v>
      </c>
      <c r="S21" s="367">
        <f t="shared" si="11"/>
        <v>0</v>
      </c>
      <c r="T21" s="347">
        <f t="shared" si="11"/>
        <v>0</v>
      </c>
      <c r="U21" s="347">
        <f t="shared" si="11"/>
        <v>0</v>
      </c>
      <c r="V21" s="347">
        <f t="shared" si="11"/>
        <v>0</v>
      </c>
      <c r="W21" s="347">
        <f t="shared" si="2"/>
        <v>0</v>
      </c>
      <c r="X21" s="376">
        <f>SUM(X15:X20)</f>
        <v>0</v>
      </c>
      <c r="Y21" s="347">
        <f>SUM(Y15:Y20)</f>
        <v>0</v>
      </c>
      <c r="Z21" s="347">
        <f>SUM(Z15:Z20)</f>
        <v>0</v>
      </c>
      <c r="AA21" s="347">
        <f>SUM(AA15:AA20)</f>
        <v>0</v>
      </c>
      <c r="AB21" s="347">
        <f t="shared" si="5"/>
        <v>0</v>
      </c>
      <c r="AC21" s="742"/>
      <c r="AD21" s="742"/>
      <c r="AE21" s="742"/>
    </row>
    <row r="22" spans="1:31" s="149" customFormat="1" ht="25.5">
      <c r="A22" s="141" t="s">
        <v>178</v>
      </c>
      <c r="B22" s="354">
        <f t="shared" ref="B22:V22" si="12">B14+B21</f>
        <v>0</v>
      </c>
      <c r="C22" s="351">
        <f t="shared" si="12"/>
        <v>0</v>
      </c>
      <c r="D22" s="351">
        <f t="shared" si="12"/>
        <v>0</v>
      </c>
      <c r="E22" s="351">
        <f t="shared" si="12"/>
        <v>0</v>
      </c>
      <c r="F22" s="351">
        <f t="shared" si="12"/>
        <v>0</v>
      </c>
      <c r="G22" s="364">
        <f t="shared" si="12"/>
        <v>0</v>
      </c>
      <c r="H22" s="351">
        <f t="shared" si="12"/>
        <v>0</v>
      </c>
      <c r="I22" s="351">
        <f t="shared" si="12"/>
        <v>0</v>
      </c>
      <c r="J22" s="351">
        <f t="shared" si="12"/>
        <v>0</v>
      </c>
      <c r="K22" s="351">
        <f t="shared" si="12"/>
        <v>0</v>
      </c>
      <c r="L22" s="362">
        <f t="shared" si="12"/>
        <v>0</v>
      </c>
      <c r="M22" s="351">
        <f t="shared" si="12"/>
        <v>0</v>
      </c>
      <c r="N22" s="351">
        <f t="shared" si="12"/>
        <v>0</v>
      </c>
      <c r="O22" s="351">
        <f t="shared" si="12"/>
        <v>0</v>
      </c>
      <c r="P22" s="351">
        <f t="shared" si="12"/>
        <v>0</v>
      </c>
      <c r="Q22" s="351">
        <f t="shared" si="12"/>
        <v>0</v>
      </c>
      <c r="R22" s="351">
        <f t="shared" si="12"/>
        <v>0</v>
      </c>
      <c r="S22" s="369">
        <f t="shared" si="12"/>
        <v>0</v>
      </c>
      <c r="T22" s="351">
        <f t="shared" si="12"/>
        <v>0</v>
      </c>
      <c r="U22" s="351">
        <f t="shared" si="12"/>
        <v>0</v>
      </c>
      <c r="V22" s="351">
        <f t="shared" si="12"/>
        <v>0</v>
      </c>
      <c r="W22" s="351">
        <f>SUM(T22:V22)</f>
        <v>0</v>
      </c>
      <c r="X22" s="377">
        <f>X14+X21</f>
        <v>0</v>
      </c>
      <c r="Y22" s="351">
        <f>Y14+Y21</f>
        <v>0</v>
      </c>
      <c r="Z22" s="351">
        <f>Z14+Z21</f>
        <v>0</v>
      </c>
      <c r="AA22" s="351">
        <f>AA14+AA21</f>
        <v>0</v>
      </c>
      <c r="AB22" s="351">
        <f>SUM(Y22:AA22)</f>
        <v>0</v>
      </c>
      <c r="AC22" s="742"/>
      <c r="AD22" s="742"/>
      <c r="AE22" s="742"/>
    </row>
    <row r="23" spans="1:31" s="149" customFormat="1" ht="15">
      <c r="A23" s="744" t="s">
        <v>40</v>
      </c>
      <c r="B23" s="733"/>
      <c r="C23" s="734"/>
      <c r="D23" s="734"/>
      <c r="E23" s="734"/>
      <c r="F23" s="347">
        <f t="shared" ref="F23:F28" si="13">C23+D23+E23</f>
        <v>0</v>
      </c>
      <c r="G23" s="735"/>
      <c r="H23" s="734"/>
      <c r="I23" s="734"/>
      <c r="J23" s="734"/>
      <c r="K23" s="347">
        <f t="shared" ref="K23:K28" si="14">H23+I23+J23</f>
        <v>0</v>
      </c>
      <c r="L23" s="736">
        <v>0</v>
      </c>
      <c r="M23" s="734">
        <v>0</v>
      </c>
      <c r="N23" s="734"/>
      <c r="O23" s="734"/>
      <c r="P23" s="347">
        <f t="shared" ref="P23:P40" si="15">M23+N23+O23</f>
        <v>0</v>
      </c>
      <c r="Q23" s="737"/>
      <c r="R23" s="737">
        <f t="shared" ref="R23:R28" si="16">F23+K23+P23</f>
        <v>0</v>
      </c>
      <c r="S23" s="738"/>
      <c r="T23" s="734"/>
      <c r="U23" s="734"/>
      <c r="V23" s="734"/>
      <c r="W23" s="347">
        <f t="shared" ref="W23:W40" si="17">T23+U23+V23</f>
        <v>0</v>
      </c>
      <c r="X23" s="739"/>
      <c r="Y23" s="734"/>
      <c r="Z23" s="734"/>
      <c r="AA23" s="734"/>
      <c r="AB23" s="347">
        <f>Y23+Z23+AA23</f>
        <v>0</v>
      </c>
      <c r="AC23" s="742"/>
      <c r="AD23" s="742"/>
      <c r="AE23" s="742"/>
    </row>
    <row r="24" spans="1:31" s="149" customFormat="1" ht="15">
      <c r="A24" s="744" t="s">
        <v>39</v>
      </c>
      <c r="B24" s="733"/>
      <c r="C24" s="734"/>
      <c r="D24" s="734"/>
      <c r="E24" s="734"/>
      <c r="F24" s="347">
        <f t="shared" si="13"/>
        <v>0</v>
      </c>
      <c r="G24" s="735"/>
      <c r="H24" s="734"/>
      <c r="I24" s="734"/>
      <c r="J24" s="734"/>
      <c r="K24" s="347">
        <f t="shared" si="14"/>
        <v>0</v>
      </c>
      <c r="L24" s="736">
        <v>0</v>
      </c>
      <c r="M24" s="734">
        <v>0</v>
      </c>
      <c r="N24" s="734"/>
      <c r="O24" s="734"/>
      <c r="P24" s="347">
        <f t="shared" si="15"/>
        <v>0</v>
      </c>
      <c r="Q24" s="737"/>
      <c r="R24" s="737">
        <f t="shared" si="16"/>
        <v>0</v>
      </c>
      <c r="S24" s="738"/>
      <c r="T24" s="734"/>
      <c r="U24" s="734"/>
      <c r="V24" s="734"/>
      <c r="W24" s="347">
        <f t="shared" si="17"/>
        <v>0</v>
      </c>
      <c r="X24" s="739"/>
      <c r="Y24" s="734"/>
      <c r="Z24" s="734"/>
      <c r="AA24" s="734"/>
      <c r="AB24" s="347">
        <f t="shared" ref="AB24:AB46" si="18">Y24+Z24+AA24</f>
        <v>0</v>
      </c>
      <c r="AC24" s="742"/>
      <c r="AD24" s="742"/>
      <c r="AE24" s="742"/>
    </row>
    <row r="25" spans="1:31" s="149" customFormat="1" ht="15">
      <c r="A25" s="744" t="s">
        <v>38</v>
      </c>
      <c r="B25" s="733"/>
      <c r="C25" s="734"/>
      <c r="D25" s="734"/>
      <c r="E25" s="734"/>
      <c r="F25" s="347">
        <f t="shared" si="13"/>
        <v>0</v>
      </c>
      <c r="G25" s="735"/>
      <c r="H25" s="734"/>
      <c r="I25" s="734"/>
      <c r="J25" s="734"/>
      <c r="K25" s="347">
        <f t="shared" si="14"/>
        <v>0</v>
      </c>
      <c r="L25" s="736">
        <v>0</v>
      </c>
      <c r="M25" s="734">
        <v>0</v>
      </c>
      <c r="N25" s="734"/>
      <c r="O25" s="734"/>
      <c r="P25" s="347">
        <f t="shared" si="15"/>
        <v>0</v>
      </c>
      <c r="Q25" s="737"/>
      <c r="R25" s="737">
        <f t="shared" si="16"/>
        <v>0</v>
      </c>
      <c r="S25" s="738"/>
      <c r="T25" s="734"/>
      <c r="U25" s="734"/>
      <c r="V25" s="734"/>
      <c r="W25" s="347">
        <f t="shared" si="17"/>
        <v>0</v>
      </c>
      <c r="X25" s="739"/>
      <c r="Y25" s="734"/>
      <c r="Z25" s="734"/>
      <c r="AA25" s="734"/>
      <c r="AB25" s="347">
        <f t="shared" si="18"/>
        <v>0</v>
      </c>
      <c r="AC25" s="742"/>
      <c r="AD25" s="742"/>
      <c r="AE25" s="742"/>
    </row>
    <row r="26" spans="1:31" s="149" customFormat="1" ht="15">
      <c r="A26" s="744" t="s">
        <v>37</v>
      </c>
      <c r="B26" s="733"/>
      <c r="C26" s="734"/>
      <c r="D26" s="734"/>
      <c r="E26" s="734"/>
      <c r="F26" s="347">
        <f t="shared" si="13"/>
        <v>0</v>
      </c>
      <c r="G26" s="735"/>
      <c r="H26" s="734"/>
      <c r="I26" s="734"/>
      <c r="J26" s="734"/>
      <c r="K26" s="347">
        <f t="shared" si="14"/>
        <v>0</v>
      </c>
      <c r="L26" s="736">
        <v>0</v>
      </c>
      <c r="M26" s="734">
        <v>0</v>
      </c>
      <c r="N26" s="734"/>
      <c r="O26" s="734"/>
      <c r="P26" s="347">
        <f t="shared" si="15"/>
        <v>0</v>
      </c>
      <c r="Q26" s="737"/>
      <c r="R26" s="737">
        <f t="shared" si="16"/>
        <v>0</v>
      </c>
      <c r="S26" s="738"/>
      <c r="T26" s="734"/>
      <c r="U26" s="734"/>
      <c r="V26" s="734"/>
      <c r="W26" s="347">
        <f t="shared" si="17"/>
        <v>0</v>
      </c>
      <c r="X26" s="739"/>
      <c r="Y26" s="734"/>
      <c r="Z26" s="734"/>
      <c r="AA26" s="734"/>
      <c r="AB26" s="347">
        <f t="shared" si="18"/>
        <v>0</v>
      </c>
      <c r="AC26" s="742"/>
      <c r="AD26" s="742"/>
      <c r="AE26" s="742"/>
    </row>
    <row r="27" spans="1:31" s="149" customFormat="1" ht="15">
      <c r="A27" s="744" t="s">
        <v>36</v>
      </c>
      <c r="B27" s="733"/>
      <c r="C27" s="734"/>
      <c r="D27" s="734"/>
      <c r="E27" s="734"/>
      <c r="F27" s="347">
        <f t="shared" si="13"/>
        <v>0</v>
      </c>
      <c r="G27" s="735"/>
      <c r="H27" s="734"/>
      <c r="I27" s="734"/>
      <c r="J27" s="734"/>
      <c r="K27" s="347">
        <f t="shared" si="14"/>
        <v>0</v>
      </c>
      <c r="L27" s="736">
        <v>0</v>
      </c>
      <c r="M27" s="734">
        <v>0</v>
      </c>
      <c r="N27" s="734"/>
      <c r="O27" s="734"/>
      <c r="P27" s="347">
        <f t="shared" si="15"/>
        <v>0</v>
      </c>
      <c r="Q27" s="737"/>
      <c r="R27" s="737">
        <f t="shared" si="16"/>
        <v>0</v>
      </c>
      <c r="S27" s="738"/>
      <c r="T27" s="734"/>
      <c r="U27" s="734"/>
      <c r="V27" s="734"/>
      <c r="W27" s="347">
        <f t="shared" si="17"/>
        <v>0</v>
      </c>
      <c r="X27" s="739"/>
      <c r="Y27" s="734"/>
      <c r="Z27" s="734"/>
      <c r="AA27" s="734"/>
      <c r="AB27" s="347">
        <f t="shared" si="18"/>
        <v>0</v>
      </c>
      <c r="AC27" s="742"/>
      <c r="AD27" s="742"/>
      <c r="AE27" s="742"/>
    </row>
    <row r="28" spans="1:31" s="149" customFormat="1" ht="15">
      <c r="A28" s="744" t="s">
        <v>35</v>
      </c>
      <c r="B28" s="733"/>
      <c r="C28" s="734"/>
      <c r="D28" s="734"/>
      <c r="E28" s="734"/>
      <c r="F28" s="347">
        <f t="shared" si="13"/>
        <v>0</v>
      </c>
      <c r="G28" s="735"/>
      <c r="H28" s="734"/>
      <c r="I28" s="734"/>
      <c r="J28" s="734"/>
      <c r="K28" s="347">
        <f t="shared" si="14"/>
        <v>0</v>
      </c>
      <c r="L28" s="736">
        <v>0</v>
      </c>
      <c r="M28" s="734">
        <v>0</v>
      </c>
      <c r="N28" s="734"/>
      <c r="O28" s="734"/>
      <c r="P28" s="347">
        <f t="shared" si="15"/>
        <v>0</v>
      </c>
      <c r="Q28" s="737"/>
      <c r="R28" s="737">
        <f t="shared" si="16"/>
        <v>0</v>
      </c>
      <c r="S28" s="738"/>
      <c r="T28" s="734"/>
      <c r="U28" s="734"/>
      <c r="V28" s="734"/>
      <c r="W28" s="347">
        <f t="shared" si="17"/>
        <v>0</v>
      </c>
      <c r="X28" s="739"/>
      <c r="Y28" s="734"/>
      <c r="Z28" s="734"/>
      <c r="AA28" s="734"/>
      <c r="AB28" s="347">
        <f t="shared" si="18"/>
        <v>0</v>
      </c>
      <c r="AC28" s="742"/>
      <c r="AD28" s="742"/>
      <c r="AE28" s="742"/>
    </row>
    <row r="29" spans="1:31" s="743" customFormat="1" ht="25.5">
      <c r="A29" s="140" t="s">
        <v>179</v>
      </c>
      <c r="B29" s="353">
        <f>SUM(B23:B28)</f>
        <v>0</v>
      </c>
      <c r="C29" s="347">
        <f>SUM(C23:C28)</f>
        <v>0</v>
      </c>
      <c r="D29" s="347">
        <f t="shared" ref="D29:S29" si="19">SUM(D23:D28)</f>
        <v>0</v>
      </c>
      <c r="E29" s="347">
        <f t="shared" si="19"/>
        <v>0</v>
      </c>
      <c r="F29" s="347">
        <f t="shared" si="19"/>
        <v>0</v>
      </c>
      <c r="G29" s="358">
        <f t="shared" si="19"/>
        <v>0</v>
      </c>
      <c r="H29" s="347">
        <f t="shared" si="19"/>
        <v>0</v>
      </c>
      <c r="I29" s="347">
        <f t="shared" si="19"/>
        <v>0</v>
      </c>
      <c r="J29" s="347">
        <f t="shared" si="19"/>
        <v>0</v>
      </c>
      <c r="K29" s="347">
        <f t="shared" si="19"/>
        <v>0</v>
      </c>
      <c r="L29" s="361">
        <f t="shared" si="19"/>
        <v>0</v>
      </c>
      <c r="M29" s="347">
        <f t="shared" si="19"/>
        <v>0</v>
      </c>
      <c r="N29" s="347">
        <v>0</v>
      </c>
      <c r="O29" s="347">
        <f t="shared" si="19"/>
        <v>0</v>
      </c>
      <c r="P29" s="347">
        <f t="shared" si="15"/>
        <v>0</v>
      </c>
      <c r="Q29" s="347">
        <f>SUM(Q23:Q28)</f>
        <v>0</v>
      </c>
      <c r="R29" s="347">
        <f>SUM(R23:R28)</f>
        <v>0</v>
      </c>
      <c r="S29" s="367">
        <f t="shared" si="19"/>
        <v>0</v>
      </c>
      <c r="T29" s="347">
        <f>SUM(T23:T28)</f>
        <v>0</v>
      </c>
      <c r="U29" s="347">
        <f>SUM(U23:U28)</f>
        <v>0</v>
      </c>
      <c r="V29" s="347">
        <f>SUM(V23:V28)</f>
        <v>0</v>
      </c>
      <c r="W29" s="347">
        <f t="shared" si="17"/>
        <v>0</v>
      </c>
      <c r="X29" s="376">
        <f>SUM(X23:X28)</f>
        <v>0</v>
      </c>
      <c r="Y29" s="347">
        <f>SUM(Y23:Y28)</f>
        <v>0</v>
      </c>
      <c r="Z29" s="347">
        <f>Z23+Z28</f>
        <v>0</v>
      </c>
      <c r="AA29" s="347">
        <f>AA23+AA28</f>
        <v>0</v>
      </c>
      <c r="AB29" s="347">
        <f t="shared" si="18"/>
        <v>0</v>
      </c>
      <c r="AC29" s="742"/>
      <c r="AD29" s="742"/>
      <c r="AE29" s="742"/>
    </row>
    <row r="30" spans="1:31" s="149" customFormat="1" ht="15">
      <c r="A30" s="744" t="s">
        <v>45</v>
      </c>
      <c r="B30" s="733"/>
      <c r="C30" s="734"/>
      <c r="D30" s="734"/>
      <c r="E30" s="734"/>
      <c r="F30" s="347">
        <f>C30+D30+E30</f>
        <v>0</v>
      </c>
      <c r="G30" s="735"/>
      <c r="H30" s="734"/>
      <c r="I30" s="734"/>
      <c r="J30" s="734"/>
      <c r="K30" s="347">
        <f>H30+I30+J30</f>
        <v>0</v>
      </c>
      <c r="L30" s="736">
        <v>0</v>
      </c>
      <c r="M30" s="734">
        <v>0</v>
      </c>
      <c r="N30" s="734"/>
      <c r="O30" s="734"/>
      <c r="P30" s="347">
        <f t="shared" si="15"/>
        <v>0</v>
      </c>
      <c r="Q30" s="737"/>
      <c r="R30" s="737">
        <f>F30+K30+P30</f>
        <v>0</v>
      </c>
      <c r="S30" s="738"/>
      <c r="T30" s="734"/>
      <c r="U30" s="734"/>
      <c r="V30" s="734"/>
      <c r="W30" s="347">
        <f t="shared" si="17"/>
        <v>0</v>
      </c>
      <c r="X30" s="739"/>
      <c r="Y30" s="734"/>
      <c r="Z30" s="734"/>
      <c r="AA30" s="734"/>
      <c r="AB30" s="347">
        <f t="shared" si="18"/>
        <v>0</v>
      </c>
      <c r="AC30" s="742"/>
      <c r="AD30" s="742"/>
      <c r="AE30" s="742"/>
    </row>
    <row r="31" spans="1:31" s="149" customFormat="1" ht="15">
      <c r="A31" s="744" t="s">
        <v>46</v>
      </c>
      <c r="B31" s="733"/>
      <c r="C31" s="734"/>
      <c r="D31" s="734"/>
      <c r="E31" s="734"/>
      <c r="F31" s="347">
        <f>C31+D31+E31</f>
        <v>0</v>
      </c>
      <c r="G31" s="735"/>
      <c r="H31" s="734"/>
      <c r="I31" s="734"/>
      <c r="J31" s="734"/>
      <c r="K31" s="347">
        <f>H31+I31+J31</f>
        <v>0</v>
      </c>
      <c r="L31" s="736">
        <v>0</v>
      </c>
      <c r="M31" s="734">
        <v>0</v>
      </c>
      <c r="N31" s="734"/>
      <c r="O31" s="734"/>
      <c r="P31" s="347">
        <f t="shared" si="15"/>
        <v>0</v>
      </c>
      <c r="Q31" s="737"/>
      <c r="R31" s="737">
        <f>F31+K31+P31</f>
        <v>0</v>
      </c>
      <c r="S31" s="738"/>
      <c r="T31" s="734"/>
      <c r="U31" s="734"/>
      <c r="V31" s="734"/>
      <c r="W31" s="347">
        <f t="shared" si="17"/>
        <v>0</v>
      </c>
      <c r="X31" s="739"/>
      <c r="Y31" s="734"/>
      <c r="Z31" s="734"/>
      <c r="AA31" s="734"/>
      <c r="AB31" s="347">
        <f t="shared" si="18"/>
        <v>0</v>
      </c>
      <c r="AC31" s="742"/>
      <c r="AD31" s="742"/>
      <c r="AE31" s="742"/>
    </row>
    <row r="32" spans="1:31" s="149" customFormat="1" ht="15">
      <c r="A32" s="744" t="s">
        <v>47</v>
      </c>
      <c r="B32" s="733"/>
      <c r="C32" s="734"/>
      <c r="D32" s="734"/>
      <c r="E32" s="734"/>
      <c r="F32" s="347">
        <f>C32+D32+E32</f>
        <v>0</v>
      </c>
      <c r="G32" s="735"/>
      <c r="H32" s="734"/>
      <c r="I32" s="734"/>
      <c r="J32" s="734"/>
      <c r="K32" s="347">
        <f>H32+I32+J32</f>
        <v>0</v>
      </c>
      <c r="L32" s="736">
        <v>0</v>
      </c>
      <c r="M32" s="734">
        <v>0</v>
      </c>
      <c r="N32" s="734"/>
      <c r="O32" s="734"/>
      <c r="P32" s="347">
        <f t="shared" si="15"/>
        <v>0</v>
      </c>
      <c r="Q32" s="737"/>
      <c r="R32" s="737">
        <f>F32+K32+P32</f>
        <v>0</v>
      </c>
      <c r="S32" s="738"/>
      <c r="T32" s="734"/>
      <c r="U32" s="734"/>
      <c r="V32" s="734"/>
      <c r="W32" s="347">
        <f t="shared" si="17"/>
        <v>0</v>
      </c>
      <c r="X32" s="739"/>
      <c r="Y32" s="734"/>
      <c r="Z32" s="734"/>
      <c r="AA32" s="734"/>
      <c r="AB32" s="347">
        <f t="shared" si="18"/>
        <v>0</v>
      </c>
      <c r="AC32" s="742"/>
      <c r="AD32" s="742"/>
      <c r="AE32" s="742"/>
    </row>
    <row r="33" spans="1:31" s="149" customFormat="1" ht="15">
      <c r="A33" s="744" t="s">
        <v>48</v>
      </c>
      <c r="B33" s="733"/>
      <c r="C33" s="734"/>
      <c r="D33" s="734"/>
      <c r="E33" s="734"/>
      <c r="F33" s="347">
        <f>C33+D33+E33</f>
        <v>0</v>
      </c>
      <c r="G33" s="735"/>
      <c r="H33" s="734"/>
      <c r="I33" s="734"/>
      <c r="J33" s="734"/>
      <c r="K33" s="347">
        <f>H33+I33+J33</f>
        <v>0</v>
      </c>
      <c r="L33" s="736">
        <v>0</v>
      </c>
      <c r="M33" s="734">
        <v>0</v>
      </c>
      <c r="N33" s="734"/>
      <c r="O33" s="734"/>
      <c r="P33" s="347">
        <f t="shared" si="15"/>
        <v>0</v>
      </c>
      <c r="Q33" s="737"/>
      <c r="R33" s="737">
        <f>F33+K33+P33</f>
        <v>0</v>
      </c>
      <c r="S33" s="738"/>
      <c r="T33" s="734"/>
      <c r="U33" s="734"/>
      <c r="V33" s="734"/>
      <c r="W33" s="347">
        <f t="shared" si="17"/>
        <v>0</v>
      </c>
      <c r="X33" s="739"/>
      <c r="Y33" s="734"/>
      <c r="Z33" s="734"/>
      <c r="AA33" s="734"/>
      <c r="AB33" s="347">
        <f t="shared" si="18"/>
        <v>0</v>
      </c>
      <c r="AC33" s="742"/>
      <c r="AD33" s="742"/>
      <c r="AE33" s="742"/>
    </row>
    <row r="34" spans="1:31" s="149" customFormat="1" ht="15">
      <c r="A34" s="744" t="s">
        <v>49</v>
      </c>
      <c r="B34" s="733"/>
      <c r="C34" s="734"/>
      <c r="D34" s="734"/>
      <c r="E34" s="734"/>
      <c r="F34" s="347">
        <f>C34+D34+E34</f>
        <v>0</v>
      </c>
      <c r="G34" s="735"/>
      <c r="H34" s="734"/>
      <c r="I34" s="734"/>
      <c r="J34" s="734"/>
      <c r="K34" s="347">
        <f>H34+I34+J34</f>
        <v>0</v>
      </c>
      <c r="L34" s="736">
        <v>0</v>
      </c>
      <c r="M34" s="734">
        <v>0</v>
      </c>
      <c r="N34" s="734"/>
      <c r="O34" s="734"/>
      <c r="P34" s="347">
        <f t="shared" si="15"/>
        <v>0</v>
      </c>
      <c r="Q34" s="737"/>
      <c r="R34" s="737">
        <f>F34+K34+P34</f>
        <v>0</v>
      </c>
      <c r="S34" s="738"/>
      <c r="T34" s="734"/>
      <c r="U34" s="734"/>
      <c r="V34" s="734"/>
      <c r="W34" s="347">
        <f t="shared" si="17"/>
        <v>0</v>
      </c>
      <c r="X34" s="739"/>
      <c r="Y34" s="734"/>
      <c r="Z34" s="734"/>
      <c r="AA34" s="734"/>
      <c r="AB34" s="347">
        <f t="shared" si="18"/>
        <v>0</v>
      </c>
      <c r="AC34" s="742"/>
      <c r="AD34" s="742"/>
      <c r="AE34" s="742"/>
    </row>
    <row r="35" spans="1:31" s="743" customFormat="1" ht="25.5">
      <c r="A35" s="140" t="s">
        <v>180</v>
      </c>
      <c r="B35" s="353">
        <f>SUM(B30:B34)</f>
        <v>0</v>
      </c>
      <c r="C35" s="347">
        <f>SUM(C30:C34)</f>
        <v>0</v>
      </c>
      <c r="D35" s="347">
        <f t="shared" ref="D35:S35" si="20">SUM(D30:D34)</f>
        <v>0</v>
      </c>
      <c r="E35" s="347">
        <f t="shared" si="20"/>
        <v>0</v>
      </c>
      <c r="F35" s="347">
        <f t="shared" si="20"/>
        <v>0</v>
      </c>
      <c r="G35" s="358">
        <f t="shared" si="20"/>
        <v>0</v>
      </c>
      <c r="H35" s="347">
        <f>SUM(H30:H34)</f>
        <v>0</v>
      </c>
      <c r="I35" s="347">
        <f t="shared" si="20"/>
        <v>0</v>
      </c>
      <c r="J35" s="347">
        <f t="shared" si="20"/>
        <v>0</v>
      </c>
      <c r="K35" s="347">
        <f t="shared" si="20"/>
        <v>0</v>
      </c>
      <c r="L35" s="361">
        <f t="shared" si="20"/>
        <v>0</v>
      </c>
      <c r="M35" s="347">
        <v>0</v>
      </c>
      <c r="N35" s="347">
        <f t="shared" si="20"/>
        <v>0</v>
      </c>
      <c r="O35" s="347">
        <f t="shared" si="20"/>
        <v>0</v>
      </c>
      <c r="P35" s="347">
        <f t="shared" si="15"/>
        <v>0</v>
      </c>
      <c r="Q35" s="347">
        <f>SUM(Q30:Q34)</f>
        <v>0</v>
      </c>
      <c r="R35" s="347">
        <f t="shared" si="20"/>
        <v>0</v>
      </c>
      <c r="S35" s="367">
        <f t="shared" si="20"/>
        <v>0</v>
      </c>
      <c r="T35" s="347">
        <f>SUM(T30:T34)</f>
        <v>0</v>
      </c>
      <c r="U35" s="347">
        <f>SUM(U30:U34)</f>
        <v>0</v>
      </c>
      <c r="V35" s="347">
        <f>SUM(V30:V34)</f>
        <v>0</v>
      </c>
      <c r="W35" s="347">
        <f t="shared" si="17"/>
        <v>0</v>
      </c>
      <c r="X35" s="376">
        <f>SUM(X30:X34)</f>
        <v>0</v>
      </c>
      <c r="Y35" s="347">
        <f>SUM(Y30:Y34)</f>
        <v>0</v>
      </c>
      <c r="Z35" s="347">
        <f>SUM(Z30:Z34)</f>
        <v>0</v>
      </c>
      <c r="AA35" s="347">
        <f>SUM(AA30:AA34)</f>
        <v>0</v>
      </c>
      <c r="AB35" s="347">
        <f t="shared" si="18"/>
        <v>0</v>
      </c>
      <c r="AC35" s="742"/>
      <c r="AD35" s="742"/>
      <c r="AE35" s="742"/>
    </row>
    <row r="36" spans="1:31" s="149" customFormat="1" ht="15">
      <c r="A36" s="744" t="s">
        <v>51</v>
      </c>
      <c r="B36" s="733"/>
      <c r="C36" s="734"/>
      <c r="D36" s="734"/>
      <c r="E36" s="734"/>
      <c r="F36" s="347">
        <f>C36+D36+E36</f>
        <v>0</v>
      </c>
      <c r="G36" s="735"/>
      <c r="H36" s="734"/>
      <c r="I36" s="734"/>
      <c r="J36" s="734"/>
      <c r="K36" s="347">
        <f>H36+I36+J36</f>
        <v>0</v>
      </c>
      <c r="L36" s="736">
        <v>0</v>
      </c>
      <c r="M36" s="734"/>
      <c r="N36" s="734"/>
      <c r="O36" s="734"/>
      <c r="P36" s="347">
        <f t="shared" si="15"/>
        <v>0</v>
      </c>
      <c r="Q36" s="737"/>
      <c r="R36" s="737">
        <f>SUM(F36,K36,P36)</f>
        <v>0</v>
      </c>
      <c r="S36" s="738"/>
      <c r="T36" s="734"/>
      <c r="U36" s="734"/>
      <c r="V36" s="734"/>
      <c r="W36" s="347">
        <f t="shared" si="17"/>
        <v>0</v>
      </c>
      <c r="X36" s="739"/>
      <c r="Y36" s="734"/>
      <c r="Z36" s="734"/>
      <c r="AA36" s="734"/>
      <c r="AB36" s="347">
        <f t="shared" si="18"/>
        <v>0</v>
      </c>
      <c r="AC36" s="742"/>
      <c r="AD36" s="742"/>
      <c r="AE36" s="742"/>
    </row>
    <row r="37" spans="1:31" s="149" customFormat="1" ht="15">
      <c r="A37" s="744" t="s">
        <v>52</v>
      </c>
      <c r="B37" s="733"/>
      <c r="C37" s="734"/>
      <c r="D37" s="734"/>
      <c r="E37" s="734"/>
      <c r="F37" s="347">
        <f>C37+D37+E37</f>
        <v>0</v>
      </c>
      <c r="G37" s="735"/>
      <c r="H37" s="734"/>
      <c r="I37" s="734"/>
      <c r="J37" s="734"/>
      <c r="K37" s="347">
        <f>H37+I37+J37</f>
        <v>0</v>
      </c>
      <c r="L37" s="736">
        <v>0</v>
      </c>
      <c r="M37" s="734"/>
      <c r="N37" s="734"/>
      <c r="O37" s="734"/>
      <c r="P37" s="347">
        <f t="shared" si="15"/>
        <v>0</v>
      </c>
      <c r="Q37" s="737"/>
      <c r="R37" s="737">
        <f>SUM(F37,K37,P37)</f>
        <v>0</v>
      </c>
      <c r="S37" s="738"/>
      <c r="T37" s="734"/>
      <c r="U37" s="734"/>
      <c r="V37" s="734"/>
      <c r="W37" s="347">
        <f t="shared" si="17"/>
        <v>0</v>
      </c>
      <c r="X37" s="739"/>
      <c r="Y37" s="734"/>
      <c r="Z37" s="734"/>
      <c r="AA37" s="734"/>
      <c r="AB37" s="347">
        <f t="shared" si="18"/>
        <v>0</v>
      </c>
      <c r="AC37" s="742"/>
      <c r="AD37" s="742"/>
      <c r="AE37" s="742"/>
    </row>
    <row r="38" spans="1:31" s="149" customFormat="1" ht="15">
      <c r="A38" s="744" t="s">
        <v>53</v>
      </c>
      <c r="B38" s="733"/>
      <c r="C38" s="734"/>
      <c r="D38" s="734"/>
      <c r="E38" s="734"/>
      <c r="F38" s="347">
        <f>C38+D38+E38</f>
        <v>0</v>
      </c>
      <c r="G38" s="735"/>
      <c r="H38" s="734"/>
      <c r="I38" s="734"/>
      <c r="J38" s="734"/>
      <c r="K38" s="347">
        <f>H38+I38+J38</f>
        <v>0</v>
      </c>
      <c r="L38" s="736">
        <v>0</v>
      </c>
      <c r="M38" s="734"/>
      <c r="N38" s="734"/>
      <c r="O38" s="734"/>
      <c r="P38" s="347">
        <f t="shared" si="15"/>
        <v>0</v>
      </c>
      <c r="Q38" s="737"/>
      <c r="R38" s="737">
        <f>SUM(F38,K38,P38)</f>
        <v>0</v>
      </c>
      <c r="S38" s="738"/>
      <c r="T38" s="734"/>
      <c r="U38" s="734"/>
      <c r="V38" s="734"/>
      <c r="W38" s="347">
        <f t="shared" si="17"/>
        <v>0</v>
      </c>
      <c r="X38" s="739"/>
      <c r="Y38" s="734"/>
      <c r="Z38" s="734"/>
      <c r="AA38" s="734"/>
      <c r="AB38" s="347">
        <f t="shared" si="18"/>
        <v>0</v>
      </c>
      <c r="AC38" s="742"/>
      <c r="AD38" s="742"/>
      <c r="AE38" s="742"/>
    </row>
    <row r="39" spans="1:31" s="149" customFormat="1" ht="15">
      <c r="A39" s="744" t="s">
        <v>54</v>
      </c>
      <c r="B39" s="733"/>
      <c r="C39" s="734"/>
      <c r="D39" s="734"/>
      <c r="E39" s="734"/>
      <c r="F39" s="347">
        <f>C39+D39+E39</f>
        <v>0</v>
      </c>
      <c r="G39" s="735"/>
      <c r="H39" s="734"/>
      <c r="I39" s="734"/>
      <c r="J39" s="734"/>
      <c r="K39" s="347">
        <f>H39+I39+J39</f>
        <v>0</v>
      </c>
      <c r="L39" s="736">
        <v>0</v>
      </c>
      <c r="M39" s="734"/>
      <c r="N39" s="734"/>
      <c r="O39" s="734"/>
      <c r="P39" s="347">
        <f t="shared" si="15"/>
        <v>0</v>
      </c>
      <c r="Q39" s="737"/>
      <c r="R39" s="737">
        <f>SUM(F39,K39,P39)</f>
        <v>0</v>
      </c>
      <c r="S39" s="738"/>
      <c r="T39" s="734"/>
      <c r="U39" s="734"/>
      <c r="V39" s="734"/>
      <c r="W39" s="347">
        <f t="shared" si="17"/>
        <v>0</v>
      </c>
      <c r="X39" s="739"/>
      <c r="Y39" s="734"/>
      <c r="Z39" s="734"/>
      <c r="AA39" s="734"/>
      <c r="AB39" s="347">
        <f t="shared" si="18"/>
        <v>0</v>
      </c>
      <c r="AC39" s="742"/>
      <c r="AD39" s="742"/>
      <c r="AE39" s="742"/>
    </row>
    <row r="40" spans="1:31" s="743" customFormat="1" ht="25.5">
      <c r="A40" s="140" t="s">
        <v>181</v>
      </c>
      <c r="B40" s="353">
        <f>SUM(B36:B39)</f>
        <v>0</v>
      </c>
      <c r="C40" s="347">
        <f>SUM(C36:C39)</f>
        <v>0</v>
      </c>
      <c r="D40" s="347">
        <f t="shared" ref="D40:S40" si="21">SUM(D36:D39)</f>
        <v>0</v>
      </c>
      <c r="E40" s="347">
        <f t="shared" si="21"/>
        <v>0</v>
      </c>
      <c r="F40" s="347">
        <f t="shared" si="21"/>
        <v>0</v>
      </c>
      <c r="G40" s="358">
        <f t="shared" si="21"/>
        <v>0</v>
      </c>
      <c r="H40" s="347">
        <f>SUM(H36:H39)</f>
        <v>0</v>
      </c>
      <c r="I40" s="347">
        <f t="shared" si="21"/>
        <v>0</v>
      </c>
      <c r="J40" s="347">
        <f t="shared" si="21"/>
        <v>0</v>
      </c>
      <c r="K40" s="347">
        <f t="shared" si="21"/>
        <v>0</v>
      </c>
      <c r="L40" s="361">
        <f t="shared" si="21"/>
        <v>0</v>
      </c>
      <c r="M40" s="347">
        <v>0</v>
      </c>
      <c r="N40" s="347">
        <f t="shared" si="21"/>
        <v>0</v>
      </c>
      <c r="O40" s="347">
        <f t="shared" si="21"/>
        <v>0</v>
      </c>
      <c r="P40" s="347">
        <f t="shared" si="15"/>
        <v>0</v>
      </c>
      <c r="Q40" s="347">
        <f>SUM(Q36:Q39)</f>
        <v>0</v>
      </c>
      <c r="R40" s="347">
        <f t="shared" si="21"/>
        <v>0</v>
      </c>
      <c r="S40" s="367">
        <f t="shared" si="21"/>
        <v>0</v>
      </c>
      <c r="T40" s="347">
        <f>SUM(T36:T39)</f>
        <v>0</v>
      </c>
      <c r="U40" s="347">
        <f>SUM(U36:U39)</f>
        <v>0</v>
      </c>
      <c r="V40" s="347">
        <f>SUM(V36:V39)</f>
        <v>0</v>
      </c>
      <c r="W40" s="347">
        <f t="shared" si="17"/>
        <v>0</v>
      </c>
      <c r="X40" s="376">
        <f>SUM(X36:X39)</f>
        <v>0</v>
      </c>
      <c r="Y40" s="347">
        <f>SUM(Y36:Y39)</f>
        <v>0</v>
      </c>
      <c r="Z40" s="347">
        <f>SUM(Z36:Z39)</f>
        <v>0</v>
      </c>
      <c r="AA40" s="347">
        <f>SUM(AA36:AA39)</f>
        <v>0</v>
      </c>
      <c r="AB40" s="347">
        <f t="shared" si="18"/>
        <v>0</v>
      </c>
      <c r="AC40" s="742"/>
      <c r="AD40" s="742"/>
      <c r="AE40" s="742"/>
    </row>
    <row r="41" spans="1:31" s="743" customFormat="1" ht="25.5">
      <c r="A41" s="141" t="s">
        <v>186</v>
      </c>
      <c r="B41" s="354">
        <f t="shared" ref="B41:P41" si="22">B29+B35+B40</f>
        <v>0</v>
      </c>
      <c r="C41" s="352">
        <f t="shared" si="22"/>
        <v>0</v>
      </c>
      <c r="D41" s="352">
        <f t="shared" si="22"/>
        <v>0</v>
      </c>
      <c r="E41" s="352">
        <f t="shared" si="22"/>
        <v>0</v>
      </c>
      <c r="F41" s="352">
        <f t="shared" si="22"/>
        <v>0</v>
      </c>
      <c r="G41" s="364">
        <f t="shared" si="22"/>
        <v>0</v>
      </c>
      <c r="H41" s="352">
        <f t="shared" si="22"/>
        <v>0</v>
      </c>
      <c r="I41" s="352">
        <f t="shared" si="22"/>
        <v>0</v>
      </c>
      <c r="J41" s="352">
        <f t="shared" si="22"/>
        <v>0</v>
      </c>
      <c r="K41" s="352">
        <f t="shared" si="22"/>
        <v>0</v>
      </c>
      <c r="L41" s="362">
        <f t="shared" si="22"/>
        <v>0</v>
      </c>
      <c r="M41" s="352">
        <f t="shared" si="22"/>
        <v>0</v>
      </c>
      <c r="N41" s="352">
        <f t="shared" si="22"/>
        <v>0</v>
      </c>
      <c r="O41" s="352">
        <f t="shared" si="22"/>
        <v>0</v>
      </c>
      <c r="P41" s="352">
        <f t="shared" si="22"/>
        <v>0</v>
      </c>
      <c r="Q41" s="352">
        <f>B41+G41+L41</f>
        <v>0</v>
      </c>
      <c r="R41" s="352">
        <f>R29+R35+R40+R46</f>
        <v>0</v>
      </c>
      <c r="S41" s="369">
        <f t="shared" ref="S41:AB41" si="23">S29+S35+S40</f>
        <v>0</v>
      </c>
      <c r="T41" s="351">
        <f t="shared" si="23"/>
        <v>0</v>
      </c>
      <c r="U41" s="351">
        <f t="shared" si="23"/>
        <v>0</v>
      </c>
      <c r="V41" s="351">
        <f t="shared" si="23"/>
        <v>0</v>
      </c>
      <c r="W41" s="351">
        <f t="shared" si="23"/>
        <v>0</v>
      </c>
      <c r="X41" s="377">
        <f t="shared" si="23"/>
        <v>0</v>
      </c>
      <c r="Y41" s="351">
        <f t="shared" si="23"/>
        <v>0</v>
      </c>
      <c r="Z41" s="351">
        <f t="shared" si="23"/>
        <v>0</v>
      </c>
      <c r="AA41" s="351">
        <f t="shared" si="23"/>
        <v>0</v>
      </c>
      <c r="AB41" s="351">
        <f t="shared" si="23"/>
        <v>0</v>
      </c>
      <c r="AC41" s="742"/>
      <c r="AD41" s="742"/>
      <c r="AE41" s="742"/>
    </row>
    <row r="42" spans="1:31" s="149" customFormat="1" ht="22.5">
      <c r="A42" s="745" t="s">
        <v>182</v>
      </c>
      <c r="B42" s="733"/>
      <c r="C42" s="734"/>
      <c r="D42" s="734"/>
      <c r="E42" s="734"/>
      <c r="F42" s="347">
        <f>C42+D42+E42</f>
        <v>0</v>
      </c>
      <c r="G42" s="735"/>
      <c r="H42" s="734"/>
      <c r="I42" s="734"/>
      <c r="J42" s="734"/>
      <c r="K42" s="347">
        <f>H42+I42+J42</f>
        <v>0</v>
      </c>
      <c r="L42" s="736">
        <v>0</v>
      </c>
      <c r="M42" s="734"/>
      <c r="N42" s="734"/>
      <c r="O42" s="734"/>
      <c r="P42" s="347">
        <f>M42+N42+O42</f>
        <v>0</v>
      </c>
      <c r="Q42" s="737"/>
      <c r="R42" s="737">
        <f>SUM(F42,K42,P42)</f>
        <v>0</v>
      </c>
      <c r="S42" s="738"/>
      <c r="T42" s="734"/>
      <c r="U42" s="734"/>
      <c r="V42" s="734"/>
      <c r="W42" s="347">
        <f>T42+U42+V42</f>
        <v>0</v>
      </c>
      <c r="X42" s="734"/>
      <c r="Y42" s="734"/>
      <c r="Z42" s="734"/>
      <c r="AA42" s="734"/>
      <c r="AB42" s="347">
        <f t="shared" si="18"/>
        <v>0</v>
      </c>
      <c r="AC42" s="742"/>
      <c r="AD42" s="742"/>
      <c r="AE42" s="742"/>
    </row>
    <row r="43" spans="1:31" s="149" customFormat="1" ht="22.5">
      <c r="A43" s="745" t="s">
        <v>183</v>
      </c>
      <c r="B43" s="733"/>
      <c r="C43" s="734"/>
      <c r="D43" s="734"/>
      <c r="E43" s="734"/>
      <c r="F43" s="347">
        <f>C43+D43+E43</f>
        <v>0</v>
      </c>
      <c r="G43" s="740"/>
      <c r="H43" s="734"/>
      <c r="I43" s="734"/>
      <c r="J43" s="734"/>
      <c r="K43" s="347">
        <f>H43+I43+J43</f>
        <v>0</v>
      </c>
      <c r="L43" s="736">
        <v>0</v>
      </c>
      <c r="M43" s="734"/>
      <c r="N43" s="734"/>
      <c r="O43" s="734"/>
      <c r="P43" s="347">
        <f>M43+N43+O43</f>
        <v>0</v>
      </c>
      <c r="Q43" s="737"/>
      <c r="R43" s="737">
        <f>SUM(F43,K43,P43)</f>
        <v>0</v>
      </c>
      <c r="S43" s="738"/>
      <c r="T43" s="734"/>
      <c r="U43" s="734"/>
      <c r="V43" s="734"/>
      <c r="W43" s="347">
        <f>T43+U43+V43</f>
        <v>0</v>
      </c>
      <c r="X43" s="734"/>
      <c r="Y43" s="734"/>
      <c r="Z43" s="734"/>
      <c r="AA43" s="734"/>
      <c r="AB43" s="347">
        <f t="shared" si="18"/>
        <v>0</v>
      </c>
      <c r="AC43" s="742"/>
      <c r="AD43" s="742"/>
      <c r="AE43" s="742"/>
    </row>
    <row r="44" spans="1:31" s="149" customFormat="1" ht="22.5">
      <c r="A44" s="745" t="s">
        <v>184</v>
      </c>
      <c r="B44" s="733"/>
      <c r="C44" s="734"/>
      <c r="D44" s="734"/>
      <c r="E44" s="734"/>
      <c r="F44" s="347">
        <f>C44+D44+E44</f>
        <v>0</v>
      </c>
      <c r="G44" s="740"/>
      <c r="H44" s="734"/>
      <c r="I44" s="734"/>
      <c r="J44" s="734"/>
      <c r="K44" s="347">
        <f>H44+I44+J44</f>
        <v>0</v>
      </c>
      <c r="L44" s="736">
        <v>0</v>
      </c>
      <c r="M44" s="734"/>
      <c r="N44" s="734"/>
      <c r="O44" s="734"/>
      <c r="P44" s="347">
        <f>M44+N44+O44</f>
        <v>0</v>
      </c>
      <c r="Q44" s="737"/>
      <c r="R44" s="737">
        <f>SUM(F44,K44,P44)</f>
        <v>0</v>
      </c>
      <c r="S44" s="738"/>
      <c r="T44" s="734"/>
      <c r="U44" s="734"/>
      <c r="V44" s="734"/>
      <c r="W44" s="347">
        <f>T44+U44+V44</f>
        <v>0</v>
      </c>
      <c r="X44" s="734"/>
      <c r="Y44" s="734"/>
      <c r="Z44" s="734"/>
      <c r="AA44" s="734"/>
      <c r="AB44" s="347">
        <f t="shared" si="18"/>
        <v>0</v>
      </c>
      <c r="AC44" s="742"/>
      <c r="AD44" s="742"/>
      <c r="AE44" s="742"/>
    </row>
    <row r="45" spans="1:31" s="149" customFormat="1" ht="22.5">
      <c r="A45" s="745" t="s">
        <v>558</v>
      </c>
      <c r="B45" s="733"/>
      <c r="C45" s="734"/>
      <c r="D45" s="734"/>
      <c r="E45" s="734"/>
      <c r="F45" s="347">
        <f>C45+D45+E45</f>
        <v>0</v>
      </c>
      <c r="G45" s="735"/>
      <c r="H45" s="734"/>
      <c r="I45" s="734"/>
      <c r="J45" s="734"/>
      <c r="K45" s="347">
        <f>H45+I45+J45</f>
        <v>0</v>
      </c>
      <c r="L45" s="736">
        <v>0</v>
      </c>
      <c r="M45" s="734"/>
      <c r="N45" s="734"/>
      <c r="O45" s="734"/>
      <c r="P45" s="347">
        <f>M45+N45+O45</f>
        <v>0</v>
      </c>
      <c r="Q45" s="737"/>
      <c r="R45" s="737">
        <f>SUM(F45,K45,P45)</f>
        <v>0</v>
      </c>
      <c r="S45" s="738"/>
      <c r="T45" s="734"/>
      <c r="U45" s="734"/>
      <c r="V45" s="734"/>
      <c r="W45" s="347">
        <f>T45+U45+V45</f>
        <v>0</v>
      </c>
      <c r="X45" s="734"/>
      <c r="Y45" s="734"/>
      <c r="Z45" s="734"/>
      <c r="AA45" s="734"/>
      <c r="AB45" s="347">
        <f t="shared" si="18"/>
        <v>0</v>
      </c>
      <c r="AC45" s="742"/>
      <c r="AD45" s="742"/>
      <c r="AE45" s="742"/>
    </row>
    <row r="46" spans="1:31" s="743" customFormat="1" ht="25.5">
      <c r="A46" s="140" t="s">
        <v>185</v>
      </c>
      <c r="B46" s="353">
        <f t="shared" ref="B46:L46" si="24">SUM(B42:B45)</f>
        <v>0</v>
      </c>
      <c r="C46" s="347">
        <f t="shared" si="24"/>
        <v>0</v>
      </c>
      <c r="D46" s="347">
        <f t="shared" si="24"/>
        <v>0</v>
      </c>
      <c r="E46" s="347">
        <f t="shared" si="24"/>
        <v>0</v>
      </c>
      <c r="F46" s="347">
        <f t="shared" si="24"/>
        <v>0</v>
      </c>
      <c r="G46" s="358">
        <f t="shared" si="24"/>
        <v>0</v>
      </c>
      <c r="H46" s="347">
        <f t="shared" si="24"/>
        <v>0</v>
      </c>
      <c r="I46" s="347">
        <f t="shared" si="24"/>
        <v>0</v>
      </c>
      <c r="J46" s="347">
        <f t="shared" si="24"/>
        <v>0</v>
      </c>
      <c r="K46" s="347">
        <f t="shared" si="24"/>
        <v>0</v>
      </c>
      <c r="L46" s="361">
        <f t="shared" si="24"/>
        <v>0</v>
      </c>
      <c r="M46" s="347">
        <v>0</v>
      </c>
      <c r="N46" s="347">
        <f>SUM(N42:N45)</f>
        <v>0</v>
      </c>
      <c r="O46" s="347">
        <f>SUM(O42:O45)</f>
        <v>0</v>
      </c>
      <c r="P46" s="347">
        <f>M46+N46+O46</f>
        <v>0</v>
      </c>
      <c r="Q46" s="347">
        <f>SUM(Q42:Q45)</f>
        <v>0</v>
      </c>
      <c r="R46" s="347">
        <f>SUM(R42:R45)</f>
        <v>0</v>
      </c>
      <c r="S46" s="367">
        <f>SUM(S42:S45)</f>
        <v>0</v>
      </c>
      <c r="T46" s="347">
        <f>T42+T43+T44+T45</f>
        <v>0</v>
      </c>
      <c r="U46" s="347">
        <f>U42+U43+U44+U45</f>
        <v>0</v>
      </c>
      <c r="V46" s="347">
        <f>V42+V43+V44+V45</f>
        <v>0</v>
      </c>
      <c r="W46" s="347">
        <f>T46+U46+V46</f>
        <v>0</v>
      </c>
      <c r="X46" s="376">
        <f>SUM(X42:X45)</f>
        <v>0</v>
      </c>
      <c r="Y46" s="347">
        <f>Y42+Y43+Y44+Y45</f>
        <v>0</v>
      </c>
      <c r="Z46" s="347">
        <f>Z42+Z43+Z44+Z45</f>
        <v>0</v>
      </c>
      <c r="AA46" s="347">
        <f>AA42+AA43+AA44+AA45</f>
        <v>0</v>
      </c>
      <c r="AB46" s="347">
        <f t="shared" si="18"/>
        <v>0</v>
      </c>
      <c r="AC46" s="742"/>
      <c r="AD46" s="742"/>
      <c r="AE46" s="742"/>
    </row>
    <row r="47" spans="1:31" ht="18.75">
      <c r="A47" s="371" t="s">
        <v>7</v>
      </c>
      <c r="B47" s="355">
        <f t="shared" ref="B47:K47" si="25">B22+B41+B46</f>
        <v>0</v>
      </c>
      <c r="C47" s="370">
        <f t="shared" si="25"/>
        <v>0</v>
      </c>
      <c r="D47" s="370">
        <f t="shared" si="25"/>
        <v>0</v>
      </c>
      <c r="E47" s="370">
        <f t="shared" si="25"/>
        <v>0</v>
      </c>
      <c r="F47" s="370">
        <f t="shared" si="25"/>
        <v>0</v>
      </c>
      <c r="G47" s="359">
        <f t="shared" si="25"/>
        <v>0</v>
      </c>
      <c r="H47" s="370">
        <f t="shared" si="25"/>
        <v>0</v>
      </c>
      <c r="I47" s="370">
        <f t="shared" si="25"/>
        <v>0</v>
      </c>
      <c r="J47" s="370">
        <f t="shared" si="25"/>
        <v>0</v>
      </c>
      <c r="K47" s="370">
        <f t="shared" si="25"/>
        <v>0</v>
      </c>
      <c r="L47" s="363">
        <f>L22+L41</f>
        <v>0</v>
      </c>
      <c r="M47" s="370">
        <f>M22+M41+M46</f>
        <v>0</v>
      </c>
      <c r="N47" s="370">
        <f>N22+N41+N46</f>
        <v>0</v>
      </c>
      <c r="O47" s="370">
        <f>O22+O41+O46</f>
        <v>0</v>
      </c>
      <c r="P47" s="370">
        <f>P22+P41+P46</f>
        <v>0</v>
      </c>
      <c r="Q47" s="741">
        <f>Q22+Q41+Q46</f>
        <v>0</v>
      </c>
      <c r="R47" s="370">
        <f>R22+R41</f>
        <v>0</v>
      </c>
      <c r="S47" s="368">
        <f>S22+S41+S46</f>
        <v>0</v>
      </c>
      <c r="T47" s="370">
        <f>(T22+T41+T46)</f>
        <v>0</v>
      </c>
      <c r="U47" s="370">
        <f>(U22+U41+U46)</f>
        <v>0</v>
      </c>
      <c r="V47" s="370">
        <f>(V22+V41+V46)</f>
        <v>0</v>
      </c>
      <c r="W47" s="372">
        <f>SUM(T47:V47)</f>
        <v>0</v>
      </c>
      <c r="X47" s="378">
        <f>X22+X41+X46</f>
        <v>0</v>
      </c>
      <c r="Y47" s="370">
        <f>Y22+Y41+Y46</f>
        <v>0</v>
      </c>
      <c r="Z47" s="370"/>
      <c r="AA47" s="370">
        <f>(AA22+AA41+AA46)</f>
        <v>0</v>
      </c>
      <c r="AB47" s="372">
        <f>SUM(Y47:AA47)</f>
        <v>0</v>
      </c>
    </row>
    <row r="50" spans="5:31" ht="13.5" thickBot="1">
      <c r="U50" s="749"/>
      <c r="V50" s="750"/>
      <c r="W50" s="751"/>
      <c r="X50"/>
      <c r="Y50"/>
      <c r="Z50"/>
      <c r="AA50"/>
      <c r="AB50"/>
      <c r="AC50"/>
      <c r="AD50"/>
      <c r="AE50"/>
    </row>
    <row r="51" spans="5:31" ht="42.75" customHeight="1" thickTop="1" thickBot="1">
      <c r="G51" s="747"/>
      <c r="H51" s="746"/>
      <c r="I51" s="1544" t="s">
        <v>511</v>
      </c>
      <c r="J51" s="1544"/>
      <c r="K51" s="1545"/>
      <c r="L51" s="1546" t="s">
        <v>464</v>
      </c>
      <c r="M51" s="1547"/>
      <c r="N51" s="1548"/>
      <c r="O51" s="1535" t="s">
        <v>457</v>
      </c>
      <c r="P51" s="1536"/>
      <c r="Q51" s="1537"/>
      <c r="R51" s="1538" t="s">
        <v>487</v>
      </c>
      <c r="S51" s="1539"/>
      <c r="T51" s="1540"/>
      <c r="U51" s="1541"/>
      <c r="V51" s="1542"/>
      <c r="W51" s="1543"/>
      <c r="X51" s="748"/>
      <c r="Y51"/>
      <c r="Z51"/>
      <c r="AA51"/>
      <c r="AB51"/>
      <c r="AC51"/>
      <c r="AD51"/>
      <c r="AE51"/>
    </row>
    <row r="52" spans="5:31" ht="59.25" customHeight="1" thickBot="1">
      <c r="E52" s="1418"/>
      <c r="F52" s="1418"/>
      <c r="G52" s="1476" t="s">
        <v>510</v>
      </c>
      <c r="H52" s="1477"/>
      <c r="I52" s="906" t="s">
        <v>512</v>
      </c>
      <c r="J52" s="907" t="s">
        <v>518</v>
      </c>
      <c r="K52" s="908" t="s">
        <v>565</v>
      </c>
      <c r="L52" s="909" t="s">
        <v>513</v>
      </c>
      <c r="M52" s="910" t="s">
        <v>519</v>
      </c>
      <c r="N52" s="911" t="s">
        <v>566</v>
      </c>
      <c r="O52" s="912" t="s">
        <v>514</v>
      </c>
      <c r="P52" s="913" t="s">
        <v>516</v>
      </c>
      <c r="Q52" s="914" t="s">
        <v>567</v>
      </c>
      <c r="R52" s="915" t="s">
        <v>517</v>
      </c>
      <c r="S52" s="916" t="s">
        <v>515</v>
      </c>
      <c r="T52" s="916" t="s">
        <v>568</v>
      </c>
      <c r="U52" s="781"/>
      <c r="V52" s="782"/>
      <c r="W52" s="752"/>
      <c r="X52"/>
      <c r="Y52"/>
      <c r="Z52"/>
      <c r="AA52"/>
      <c r="AB52"/>
      <c r="AC52"/>
      <c r="AD52"/>
      <c r="AE52"/>
    </row>
    <row r="53" spans="5:31" ht="21.75" customHeight="1" thickBot="1">
      <c r="E53" s="1458" t="s">
        <v>116</v>
      </c>
      <c r="F53" s="1459"/>
      <c r="G53" s="1458">
        <v>101</v>
      </c>
      <c r="H53" s="1459"/>
      <c r="I53" s="577">
        <v>0</v>
      </c>
      <c r="J53" s="577">
        <v>0</v>
      </c>
      <c r="K53" s="847">
        <v>0</v>
      </c>
      <c r="L53" s="577">
        <v>0</v>
      </c>
      <c r="M53" s="577">
        <v>0</v>
      </c>
      <c r="N53" s="847">
        <v>0</v>
      </c>
      <c r="O53" s="577">
        <v>0</v>
      </c>
      <c r="P53" s="577">
        <v>0</v>
      </c>
      <c r="Q53" s="847">
        <v>0</v>
      </c>
      <c r="R53" s="577">
        <v>0</v>
      </c>
      <c r="S53" s="577">
        <v>0</v>
      </c>
      <c r="T53" s="847">
        <f>R53/G53</f>
        <v>0</v>
      </c>
      <c r="U53" s="27"/>
      <c r="V53" s="27"/>
      <c r="W53" s="27"/>
      <c r="X53"/>
      <c r="Y53"/>
      <c r="Z53"/>
      <c r="AA53"/>
      <c r="AB53"/>
      <c r="AC53"/>
      <c r="AD53"/>
      <c r="AE53"/>
    </row>
    <row r="54" spans="5:31" ht="21.75" customHeight="1" thickBot="1">
      <c r="E54" s="1458" t="s">
        <v>114</v>
      </c>
      <c r="F54" s="1459"/>
      <c r="G54" s="1458">
        <v>125</v>
      </c>
      <c r="H54" s="1459"/>
      <c r="I54" s="577">
        <v>0</v>
      </c>
      <c r="J54" s="577">
        <v>0</v>
      </c>
      <c r="K54" s="847">
        <v>0</v>
      </c>
      <c r="L54" s="577">
        <v>0</v>
      </c>
      <c r="M54" s="577">
        <v>0</v>
      </c>
      <c r="N54" s="847">
        <v>0</v>
      </c>
      <c r="O54" s="577">
        <v>0</v>
      </c>
      <c r="P54" s="577">
        <v>0</v>
      </c>
      <c r="Q54" s="847">
        <v>0</v>
      </c>
      <c r="R54" s="577">
        <v>0</v>
      </c>
      <c r="S54" s="577">
        <v>0</v>
      </c>
      <c r="T54" s="847">
        <f t="shared" ref="T54:T57" si="26">R54/G54</f>
        <v>0</v>
      </c>
      <c r="U54" s="27"/>
      <c r="V54" s="27"/>
      <c r="W54" s="27"/>
      <c r="X54"/>
      <c r="Y54"/>
      <c r="Z54"/>
      <c r="AA54"/>
      <c r="AB54"/>
      <c r="AC54"/>
      <c r="AD54"/>
      <c r="AE54"/>
    </row>
    <row r="55" spans="5:31" ht="21.75" customHeight="1" thickBot="1">
      <c r="E55" s="1458" t="s">
        <v>115</v>
      </c>
      <c r="F55" s="1459"/>
      <c r="G55" s="1458">
        <v>138</v>
      </c>
      <c r="H55" s="1459"/>
      <c r="I55" s="577">
        <v>0</v>
      </c>
      <c r="J55" s="577">
        <v>0</v>
      </c>
      <c r="K55" s="847">
        <v>0</v>
      </c>
      <c r="L55" s="577">
        <v>0</v>
      </c>
      <c r="M55" s="577">
        <v>0</v>
      </c>
      <c r="N55" s="847">
        <v>0</v>
      </c>
      <c r="O55" s="577">
        <v>1</v>
      </c>
      <c r="P55" s="577">
        <v>1</v>
      </c>
      <c r="Q55" s="847">
        <f>O55/G55</f>
        <v>7.246376811594203E-3</v>
      </c>
      <c r="R55" s="577">
        <v>0</v>
      </c>
      <c r="S55" s="577">
        <v>0</v>
      </c>
      <c r="T55" s="847">
        <f t="shared" si="26"/>
        <v>0</v>
      </c>
      <c r="U55" s="27"/>
      <c r="V55" s="27"/>
      <c r="W55" s="27"/>
      <c r="X55"/>
      <c r="Y55"/>
      <c r="Z55"/>
      <c r="AA55"/>
      <c r="AB55"/>
      <c r="AC55"/>
      <c r="AD55"/>
      <c r="AE55"/>
    </row>
    <row r="56" spans="5:31" ht="21.75" customHeight="1" thickBot="1">
      <c r="E56" s="1458" t="s">
        <v>117</v>
      </c>
      <c r="F56" s="1459"/>
      <c r="G56" s="1458">
        <v>139</v>
      </c>
      <c r="H56" s="1459"/>
      <c r="I56" s="577">
        <v>0</v>
      </c>
      <c r="J56" s="577">
        <v>0</v>
      </c>
      <c r="K56" s="847">
        <v>0</v>
      </c>
      <c r="L56" s="577">
        <v>0</v>
      </c>
      <c r="M56" s="577">
        <v>0</v>
      </c>
      <c r="N56" s="847">
        <v>0</v>
      </c>
      <c r="O56" s="577">
        <v>1</v>
      </c>
      <c r="P56" s="577">
        <v>1</v>
      </c>
      <c r="Q56" s="847">
        <f>O56/G56</f>
        <v>7.1942446043165471E-3</v>
      </c>
      <c r="R56" s="577">
        <v>7</v>
      </c>
      <c r="S56" s="577">
        <v>15</v>
      </c>
      <c r="T56" s="847">
        <f t="shared" si="26"/>
        <v>5.0359712230215826E-2</v>
      </c>
      <c r="U56" s="27"/>
      <c r="V56" s="27"/>
      <c r="W56" s="27"/>
      <c r="X56"/>
      <c r="Y56"/>
      <c r="Z56"/>
      <c r="AA56"/>
      <c r="AB56"/>
      <c r="AC56"/>
      <c r="AD56"/>
      <c r="AE56"/>
    </row>
    <row r="57" spans="5:31" ht="18.75" customHeight="1" thickBot="1">
      <c r="E57" s="1521" t="s">
        <v>539</v>
      </c>
      <c r="F57" s="1522"/>
      <c r="G57" s="1523">
        <f>G53+G54+G55+G56</f>
        <v>503</v>
      </c>
      <c r="H57" s="1524"/>
      <c r="I57" s="879">
        <f>SUM(I53:I56)</f>
        <v>0</v>
      </c>
      <c r="J57" s="879">
        <f>SUM(J53:J56)</f>
        <v>0</v>
      </c>
      <c r="K57" s="902">
        <f>I57/G57</f>
        <v>0</v>
      </c>
      <c r="L57" s="880">
        <f>SUM(L53:L56)</f>
        <v>0</v>
      </c>
      <c r="M57" s="880">
        <f>SUM(M53:M56)</f>
        <v>0</v>
      </c>
      <c r="N57" s="881">
        <f>L57/G57</f>
        <v>0</v>
      </c>
      <c r="O57" s="883">
        <f>SUM(O55:O56)</f>
        <v>2</v>
      </c>
      <c r="P57" s="883">
        <f>SUM(P55:P56)</f>
        <v>2</v>
      </c>
      <c r="Q57" s="904">
        <f>O57/G57</f>
        <v>3.9761431411530811E-3</v>
      </c>
      <c r="R57" s="882">
        <f>SUM(R53:R56)</f>
        <v>7</v>
      </c>
      <c r="S57" s="882">
        <f>SUM(S53:S56)</f>
        <v>15</v>
      </c>
      <c r="T57" s="905">
        <f t="shared" si="26"/>
        <v>1.3916500994035786E-2</v>
      </c>
      <c r="U57" s="27"/>
      <c r="V57" s="27"/>
      <c r="W57" s="27"/>
      <c r="X57"/>
      <c r="Y57"/>
      <c r="Z57"/>
      <c r="AA57"/>
      <c r="AB57"/>
      <c r="AC57"/>
      <c r="AD57"/>
      <c r="AE57"/>
    </row>
    <row r="58" spans="5:31" ht="12" customHeight="1" thickBot="1">
      <c r="E58" s="895"/>
      <c r="F58" s="896"/>
      <c r="G58" s="897"/>
      <c r="H58" s="898"/>
      <c r="I58" s="899"/>
      <c r="J58" s="899"/>
      <c r="K58" s="901"/>
      <c r="L58" s="899"/>
      <c r="M58" s="899"/>
      <c r="N58" s="901"/>
      <c r="O58" s="899"/>
      <c r="P58" s="899"/>
      <c r="Q58" s="901"/>
      <c r="R58" s="899"/>
      <c r="S58" s="899"/>
      <c r="T58" s="900"/>
      <c r="U58" s="27"/>
      <c r="V58" s="27"/>
      <c r="W58" s="27"/>
      <c r="X58"/>
      <c r="Y58"/>
      <c r="Z58"/>
      <c r="AA58"/>
      <c r="AB58"/>
      <c r="AC58"/>
      <c r="AD58"/>
      <c r="AE58"/>
    </row>
    <row r="59" spans="5:31" ht="18" customHeight="1" thickBot="1">
      <c r="E59" s="1458" t="s">
        <v>125</v>
      </c>
      <c r="F59" s="1459"/>
      <c r="G59" s="1458">
        <v>128</v>
      </c>
      <c r="H59" s="1459"/>
      <c r="I59" s="577">
        <f>B14</f>
        <v>0</v>
      </c>
      <c r="J59" s="577">
        <f>C14</f>
        <v>0</v>
      </c>
      <c r="K59" s="847">
        <f>I59/G59</f>
        <v>0</v>
      </c>
      <c r="L59" s="577">
        <v>0</v>
      </c>
      <c r="M59" s="577">
        <v>0</v>
      </c>
      <c r="N59" s="847">
        <f>L59/G59</f>
        <v>0</v>
      </c>
      <c r="O59" s="577">
        <f>S14</f>
        <v>0</v>
      </c>
      <c r="P59" s="577">
        <f>T14</f>
        <v>0</v>
      </c>
      <c r="Q59" s="847">
        <f>O59/G59</f>
        <v>0</v>
      </c>
      <c r="R59" s="577">
        <f>X14</f>
        <v>0</v>
      </c>
      <c r="S59" s="577">
        <f>Y14</f>
        <v>0</v>
      </c>
      <c r="T59" s="847">
        <f>R59/G59</f>
        <v>0</v>
      </c>
      <c r="U59" s="27"/>
      <c r="V59" s="27"/>
      <c r="W59" s="27"/>
      <c r="X59"/>
      <c r="Y59"/>
      <c r="Z59"/>
      <c r="AA59"/>
      <c r="AB59"/>
      <c r="AC59"/>
      <c r="AD59"/>
      <c r="AE59"/>
    </row>
    <row r="60" spans="5:31" ht="21" customHeight="1" thickBot="1">
      <c r="E60" s="1458" t="s">
        <v>127</v>
      </c>
      <c r="F60" s="1459"/>
      <c r="G60" s="1458">
        <v>132</v>
      </c>
      <c r="H60" s="1459"/>
      <c r="I60" s="578">
        <f>B21</f>
        <v>0</v>
      </c>
      <c r="J60" s="578">
        <f>C21</f>
        <v>0</v>
      </c>
      <c r="K60" s="847">
        <f>I60/G60</f>
        <v>0</v>
      </c>
      <c r="L60" s="578">
        <v>0</v>
      </c>
      <c r="M60" s="578">
        <v>0</v>
      </c>
      <c r="N60" s="847">
        <f>L60/G60</f>
        <v>0</v>
      </c>
      <c r="O60" s="578">
        <f>S21</f>
        <v>0</v>
      </c>
      <c r="P60" s="578">
        <f>T21</f>
        <v>0</v>
      </c>
      <c r="Q60" s="847">
        <f>O60/G60</f>
        <v>0</v>
      </c>
      <c r="R60" s="577">
        <f>X21</f>
        <v>0</v>
      </c>
      <c r="S60" s="577">
        <f>Y21</f>
        <v>0</v>
      </c>
      <c r="T60" s="847">
        <f>R60/G60</f>
        <v>0</v>
      </c>
      <c r="U60" s="783"/>
      <c r="V60" s="161"/>
      <c r="W60" s="27"/>
      <c r="X60"/>
      <c r="Y60"/>
      <c r="Z60"/>
      <c r="AA60"/>
      <c r="AB60"/>
      <c r="AC60"/>
      <c r="AD60"/>
      <c r="AE60"/>
    </row>
    <row r="61" spans="5:31" ht="21.75" customHeight="1" thickBot="1">
      <c r="E61" s="1521" t="s">
        <v>178</v>
      </c>
      <c r="F61" s="1522"/>
      <c r="G61" s="1521">
        <f>SUM(G59:G60)</f>
        <v>260</v>
      </c>
      <c r="H61" s="1522"/>
      <c r="I61" s="868">
        <f>SUM(I59:I60)</f>
        <v>0</v>
      </c>
      <c r="J61" s="876">
        <f>SUM(J59:J60)</f>
        <v>0</v>
      </c>
      <c r="K61" s="903"/>
      <c r="L61" s="869">
        <f>SUM(L53:L60)</f>
        <v>0</v>
      </c>
      <c r="M61" s="875">
        <f>SUM(M55:M60)</f>
        <v>0</v>
      </c>
      <c r="N61" s="893"/>
      <c r="O61" s="870">
        <f>SUM(O59:O60)</f>
        <v>0</v>
      </c>
      <c r="P61" s="878">
        <f>SUM(P59:P60)</f>
        <v>0</v>
      </c>
      <c r="Q61" s="891"/>
      <c r="R61" s="871">
        <f>SUM(R59:R60)</f>
        <v>0</v>
      </c>
      <c r="S61" s="877">
        <f>SUM(S59:S60)</f>
        <v>0</v>
      </c>
      <c r="T61" s="905">
        <f t="shared" ref="T61:T67" si="27">R61/G61</f>
        <v>0</v>
      </c>
      <c r="U61" s="15"/>
      <c r="V61" s="15"/>
      <c r="W61" s="15"/>
      <c r="X61"/>
      <c r="Y61"/>
      <c r="Z61"/>
      <c r="AA61"/>
      <c r="AB61"/>
      <c r="AC61"/>
      <c r="AD61"/>
      <c r="AE61"/>
    </row>
    <row r="62" spans="5:31" ht="19.5" customHeight="1" thickBot="1">
      <c r="E62" s="1458" t="s">
        <v>130</v>
      </c>
      <c r="F62" s="1459"/>
      <c r="G62" s="1458">
        <v>125</v>
      </c>
      <c r="H62" s="1459"/>
      <c r="I62" s="872">
        <f>B29</f>
        <v>0</v>
      </c>
      <c r="J62" s="873">
        <f>C29</f>
        <v>0</v>
      </c>
      <c r="K62" s="892">
        <f>I62/G62</f>
        <v>0</v>
      </c>
      <c r="L62" s="874">
        <v>8</v>
      </c>
      <c r="M62" s="873">
        <v>8</v>
      </c>
      <c r="N62" s="894">
        <f>L62/G62</f>
        <v>6.4000000000000001E-2</v>
      </c>
      <c r="O62" s="872">
        <v>9</v>
      </c>
      <c r="P62" s="873">
        <v>9</v>
      </c>
      <c r="Q62" s="892">
        <f>O62/G62</f>
        <v>7.1999999999999995E-2</v>
      </c>
      <c r="R62" s="755">
        <v>38</v>
      </c>
      <c r="S62" s="577">
        <v>91</v>
      </c>
      <c r="T62" s="847">
        <f t="shared" si="27"/>
        <v>0.30399999999999999</v>
      </c>
      <c r="U62" s="15"/>
      <c r="V62" s="15"/>
      <c r="W62" s="15"/>
      <c r="X62"/>
      <c r="Y62"/>
      <c r="Z62"/>
      <c r="AA62"/>
      <c r="AB62"/>
      <c r="AC62"/>
      <c r="AD62"/>
      <c r="AE62"/>
    </row>
    <row r="63" spans="5:31" ht="21" customHeight="1" thickBot="1">
      <c r="E63" s="1458" t="s">
        <v>131</v>
      </c>
      <c r="F63" s="1459"/>
      <c r="G63" s="1458">
        <v>113</v>
      </c>
      <c r="H63" s="1459"/>
      <c r="I63" s="589">
        <f>B35</f>
        <v>0</v>
      </c>
      <c r="J63" s="585">
        <f>C35</f>
        <v>0</v>
      </c>
      <c r="K63" s="892">
        <f>I63/G63</f>
        <v>0</v>
      </c>
      <c r="L63" s="755">
        <v>1</v>
      </c>
      <c r="M63" s="585">
        <v>1</v>
      </c>
      <c r="N63" s="894">
        <f>L63/G63</f>
        <v>8.8495575221238937E-3</v>
      </c>
      <c r="O63" s="589">
        <v>2</v>
      </c>
      <c r="P63" s="585">
        <v>2</v>
      </c>
      <c r="Q63" s="892">
        <f>O63/G63</f>
        <v>1.7699115044247787E-2</v>
      </c>
      <c r="R63" s="755">
        <v>19</v>
      </c>
      <c r="S63" s="577">
        <v>24</v>
      </c>
      <c r="T63" s="847">
        <f t="shared" si="27"/>
        <v>0.16814159292035399</v>
      </c>
      <c r="U63" s="15"/>
      <c r="V63" s="15"/>
      <c r="W63" s="15"/>
      <c r="X63"/>
      <c r="Y63" s="688"/>
      <c r="Z63"/>
      <c r="AA63"/>
      <c r="AB63"/>
      <c r="AC63"/>
      <c r="AD63"/>
      <c r="AE63"/>
    </row>
    <row r="64" spans="5:31" ht="21" customHeight="1" thickBot="1">
      <c r="E64" s="1458" t="s">
        <v>132</v>
      </c>
      <c r="F64" s="1459"/>
      <c r="G64" s="1458">
        <v>90</v>
      </c>
      <c r="H64" s="1459"/>
      <c r="I64" s="590">
        <f>B40</f>
        <v>0</v>
      </c>
      <c r="J64" s="586">
        <f>C40</f>
        <v>0</v>
      </c>
      <c r="K64" s="892">
        <f>I64/G64</f>
        <v>0</v>
      </c>
      <c r="L64" s="757">
        <v>0</v>
      </c>
      <c r="M64" s="586">
        <v>0</v>
      </c>
      <c r="N64" s="894">
        <f>L64/G64</f>
        <v>0</v>
      </c>
      <c r="O64" s="590">
        <v>1</v>
      </c>
      <c r="P64" s="586">
        <v>1</v>
      </c>
      <c r="Q64" s="892">
        <f>O64/G64</f>
        <v>1.1111111111111112E-2</v>
      </c>
      <c r="R64" s="755">
        <v>14</v>
      </c>
      <c r="S64" s="577">
        <v>27</v>
      </c>
      <c r="T64" s="847">
        <f t="shared" si="27"/>
        <v>0.15555555555555556</v>
      </c>
      <c r="U64" s="15"/>
      <c r="V64" s="15"/>
      <c r="W64" s="15"/>
      <c r="X64"/>
      <c r="Y64"/>
      <c r="Z64"/>
      <c r="AA64"/>
      <c r="AB64"/>
      <c r="AC64"/>
      <c r="AD64"/>
      <c r="AE64"/>
    </row>
    <row r="65" spans="1:31" ht="17.25" customHeight="1" thickBot="1">
      <c r="E65" s="1519" t="s">
        <v>186</v>
      </c>
      <c r="F65" s="1520"/>
      <c r="G65" s="1519">
        <f>SUM(G62:G64)</f>
        <v>328</v>
      </c>
      <c r="H65" s="1520"/>
      <c r="I65" s="868">
        <f>SUM(I62:I64)</f>
        <v>0</v>
      </c>
      <c r="J65" s="876">
        <f>SUM(J62:J64)</f>
        <v>0</v>
      </c>
      <c r="K65" s="903"/>
      <c r="L65" s="869">
        <f>SUM(L62:L64)</f>
        <v>9</v>
      </c>
      <c r="M65" s="875">
        <f>SUM(M62:M64)</f>
        <v>9</v>
      </c>
      <c r="N65" s="893"/>
      <c r="O65" s="870">
        <f>O62+O63+O64</f>
        <v>12</v>
      </c>
      <c r="P65" s="878">
        <f>SUM(P62:P64)</f>
        <v>12</v>
      </c>
      <c r="Q65" s="891"/>
      <c r="R65" s="871">
        <f>SUM(R62:R64)</f>
        <v>71</v>
      </c>
      <c r="S65" s="758">
        <f>SUM(S62:S64)</f>
        <v>142</v>
      </c>
      <c r="T65" s="905">
        <f t="shared" si="27"/>
        <v>0.21646341463414634</v>
      </c>
      <c r="U65" s="15"/>
      <c r="V65" s="15"/>
      <c r="W65" s="15"/>
      <c r="X65"/>
      <c r="Y65"/>
      <c r="Z65"/>
      <c r="AA65"/>
      <c r="AB65"/>
      <c r="AC65"/>
      <c r="AD65"/>
      <c r="AE65"/>
    </row>
    <row r="66" spans="1:31" ht="19.5" customHeight="1" thickBot="1">
      <c r="E66" s="1466" t="s">
        <v>93</v>
      </c>
      <c r="F66" s="1467"/>
      <c r="G66" s="1466">
        <v>66</v>
      </c>
      <c r="H66" s="1467"/>
      <c r="I66" s="592">
        <f>B46</f>
        <v>0</v>
      </c>
      <c r="J66" s="588">
        <f>C46</f>
        <v>0</v>
      </c>
      <c r="K66" s="892">
        <f>I66/G66</f>
        <v>0</v>
      </c>
      <c r="L66" s="756">
        <v>4</v>
      </c>
      <c r="M66" s="588">
        <v>4</v>
      </c>
      <c r="N66" s="894">
        <f>L66/G66</f>
        <v>6.0606060606060608E-2</v>
      </c>
      <c r="O66" s="592">
        <v>9</v>
      </c>
      <c r="P66" s="588">
        <v>9</v>
      </c>
      <c r="Q66" s="892">
        <f>O66/G66</f>
        <v>0.13636363636363635</v>
      </c>
      <c r="R66" s="755">
        <v>16</v>
      </c>
      <c r="S66" s="577">
        <v>22</v>
      </c>
      <c r="T66" s="847">
        <f t="shared" si="27"/>
        <v>0.24242424242424243</v>
      </c>
      <c r="U66" s="15"/>
      <c r="V66" s="15"/>
      <c r="W66" s="15"/>
      <c r="X66"/>
      <c r="Y66"/>
      <c r="Z66"/>
      <c r="AA66"/>
      <c r="AB66"/>
      <c r="AC66"/>
      <c r="AD66"/>
      <c r="AE66"/>
    </row>
    <row r="67" spans="1:31" ht="38.25" customHeight="1" thickBot="1">
      <c r="E67" s="1517" t="s">
        <v>7</v>
      </c>
      <c r="F67" s="1518"/>
      <c r="G67" s="1517">
        <f>G57+G61+G65+G66</f>
        <v>1157</v>
      </c>
      <c r="H67" s="1518"/>
      <c r="I67" s="921">
        <f>I61+I65+I66</f>
        <v>0</v>
      </c>
      <c r="J67" s="922">
        <f>J57+J61+J65+J66</f>
        <v>0</v>
      </c>
      <c r="K67" s="917">
        <f>I67/(G61+G65+G66)</f>
        <v>0</v>
      </c>
      <c r="L67" s="923">
        <f>L61+L65+L66</f>
        <v>13</v>
      </c>
      <c r="M67" s="924">
        <f>M57+M61+M65+M66</f>
        <v>13</v>
      </c>
      <c r="N67" s="919">
        <f>L67/(G59+G60+G62+G63+G64+G66)</f>
        <v>1.9877675840978593E-2</v>
      </c>
      <c r="O67" s="925">
        <f>O61+O65+O66</f>
        <v>21</v>
      </c>
      <c r="P67" s="926">
        <f>P61+P65+P66</f>
        <v>21</v>
      </c>
      <c r="Q67" s="920">
        <f>O67/(G61+G65+G66)</f>
        <v>3.2110091743119268E-2</v>
      </c>
      <c r="R67" s="927">
        <f>R57+R61+R65+R66</f>
        <v>94</v>
      </c>
      <c r="S67" s="928">
        <f>S57+S61+S65+S66</f>
        <v>179</v>
      </c>
      <c r="T67" s="918">
        <f t="shared" si="27"/>
        <v>8.1244598098530685E-2</v>
      </c>
      <c r="X67"/>
      <c r="Y67"/>
      <c r="Z67"/>
      <c r="AA67"/>
      <c r="AB67"/>
      <c r="AC67"/>
      <c r="AD67"/>
      <c r="AE67"/>
    </row>
    <row r="68" spans="1:31" ht="40.5" customHeight="1" thickTop="1" thickBot="1">
      <c r="A68" s="542"/>
      <c r="E68" s="1530"/>
      <c r="F68" s="1530"/>
      <c r="G68" s="1528" t="s">
        <v>569</v>
      </c>
      <c r="H68" s="1529"/>
      <c r="I68" s="1525" t="e">
        <f>J67/I67</f>
        <v>#DIV/0!</v>
      </c>
      <c r="J68" s="1526"/>
      <c r="K68" s="1527"/>
      <c r="L68" s="1525">
        <f>M67/L67</f>
        <v>1</v>
      </c>
      <c r="M68" s="1526"/>
      <c r="N68" s="1527"/>
      <c r="O68" s="1525">
        <f>P67/O67</f>
        <v>1</v>
      </c>
      <c r="P68" s="1526"/>
      <c r="Q68" s="1527"/>
      <c r="R68" s="1525">
        <f>S67/R67</f>
        <v>1.9042553191489362</v>
      </c>
      <c r="S68" s="1526"/>
      <c r="T68" s="1527"/>
      <c r="X68"/>
      <c r="Y68"/>
      <c r="Z68"/>
      <c r="AA68"/>
      <c r="AB68"/>
      <c r="AC68"/>
      <c r="AD68"/>
      <c r="AE68"/>
    </row>
    <row r="69" spans="1:31" ht="51" customHeight="1" thickBot="1">
      <c r="A69" s="543"/>
      <c r="G69" s="2"/>
    </row>
    <row r="70" spans="1:31" ht="53.25" customHeight="1" thickBot="1">
      <c r="A70" s="543"/>
    </row>
    <row r="71" spans="1:31" ht="55.5" customHeight="1" thickBot="1">
      <c r="A71" s="543"/>
    </row>
  </sheetData>
  <mergeCells count="62">
    <mergeCell ref="AG2:AG3"/>
    <mergeCell ref="Y5:AA5"/>
    <mergeCell ref="A3:W3"/>
    <mergeCell ref="C5:E5"/>
    <mergeCell ref="H5:J5"/>
    <mergeCell ref="M5:O5"/>
    <mergeCell ref="T5:V5"/>
    <mergeCell ref="Q5:Q6"/>
    <mergeCell ref="R5:R6"/>
    <mergeCell ref="AH2:AJ2"/>
    <mergeCell ref="AK2:AM2"/>
    <mergeCell ref="AN2:AP2"/>
    <mergeCell ref="AQ2:AS2"/>
    <mergeCell ref="AJ4:AJ13"/>
    <mergeCell ref="AM4:AM13"/>
    <mergeCell ref="AP4:AP13"/>
    <mergeCell ref="AS4:AS13"/>
    <mergeCell ref="E68:F68"/>
    <mergeCell ref="AH14:AI14"/>
    <mergeCell ref="AK14:AL14"/>
    <mergeCell ref="AN14:AO14"/>
    <mergeCell ref="AQ14:AR14"/>
    <mergeCell ref="O51:Q51"/>
    <mergeCell ref="R51:T51"/>
    <mergeCell ref="U51:W51"/>
    <mergeCell ref="E53:F53"/>
    <mergeCell ref="E54:F54"/>
    <mergeCell ref="E55:F55"/>
    <mergeCell ref="E56:F56"/>
    <mergeCell ref="E57:F57"/>
    <mergeCell ref="E59:F59"/>
    <mergeCell ref="I51:K51"/>
    <mergeCell ref="L51:N51"/>
    <mergeCell ref="O68:Q68"/>
    <mergeCell ref="R68:T68"/>
    <mergeCell ref="G63:H63"/>
    <mergeCell ref="G64:H64"/>
    <mergeCell ref="G65:H65"/>
    <mergeCell ref="G66:H66"/>
    <mergeCell ref="G67:H67"/>
    <mergeCell ref="L68:N68"/>
    <mergeCell ref="I68:K68"/>
    <mergeCell ref="G68:H68"/>
    <mergeCell ref="G52:H52"/>
    <mergeCell ref="G60:H60"/>
    <mergeCell ref="G61:H61"/>
    <mergeCell ref="G62:H62"/>
    <mergeCell ref="E62:F62"/>
    <mergeCell ref="E52:F52"/>
    <mergeCell ref="E60:F60"/>
    <mergeCell ref="E61:F61"/>
    <mergeCell ref="G53:H53"/>
    <mergeCell ref="G54:H54"/>
    <mergeCell ref="G55:H55"/>
    <mergeCell ref="G56:H56"/>
    <mergeCell ref="G59:H59"/>
    <mergeCell ref="G57:H57"/>
    <mergeCell ref="E66:F66"/>
    <mergeCell ref="E67:F67"/>
    <mergeCell ref="E64:F64"/>
    <mergeCell ref="E65:F65"/>
    <mergeCell ref="E63:F63"/>
  </mergeCells>
  <phoneticPr fontId="0" type="noConversion"/>
  <printOptions horizontalCentered="1"/>
  <pageMargins left="0.75" right="0.75" top="0" bottom="0" header="0" footer="0"/>
  <pageSetup paperSize="9" scale="68" orientation="landscape" useFirstPageNumber="1" r:id="rId1"/>
  <headerFooter>
    <oddHeader>&amp;L&amp;"Trebuchet MS,Negrito"&amp;12&amp;K01+016AGRUPAMENTO DE ESCOLAS MIGUEL TORGA&amp;C
&amp;R&amp;"Trebuchet MS,Negrito itálico"&amp;12AUTOAVALIAÇÃO
1ºPeríodo  2011213
Tabela XX</oddHeader>
    <oddFooter>&amp;C
&amp;R20</oddFooter>
  </headerFooter>
  <colBreaks count="1" manualBreakCount="1">
    <brk id="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Z49"/>
  <sheetViews>
    <sheetView showGridLines="0" topLeftCell="A23" workbookViewId="0">
      <selection activeCell="D41" sqref="D41"/>
    </sheetView>
  </sheetViews>
  <sheetFormatPr defaultRowHeight="12.75"/>
  <cols>
    <col min="1" max="1" width="23.140625" customWidth="1"/>
    <col min="2" max="2" width="14.7109375" customWidth="1"/>
    <col min="3" max="3" width="12.42578125" bestFit="1" customWidth="1"/>
    <col min="4" max="4" width="13" customWidth="1"/>
    <col min="5" max="6" width="0" hidden="1" customWidth="1"/>
    <col min="7" max="7" width="10.7109375" customWidth="1"/>
  </cols>
  <sheetData>
    <row r="2" spans="1:7" ht="6.75" customHeight="1" thickBot="1"/>
    <row r="3" spans="1:7" ht="21" customHeight="1">
      <c r="A3" s="1568" t="s">
        <v>216</v>
      </c>
      <c r="B3" s="1569"/>
      <c r="C3" s="1569"/>
      <c r="D3" s="1569"/>
      <c r="E3" s="1569"/>
      <c r="F3" s="1569"/>
      <c r="G3" s="1570"/>
    </row>
    <row r="4" spans="1:7" ht="18.75" customHeight="1" thickBot="1">
      <c r="A4" s="1571"/>
      <c r="B4" s="1572"/>
      <c r="C4" s="1572"/>
      <c r="D4" s="1572"/>
      <c r="E4" s="1572"/>
      <c r="F4" s="1572"/>
      <c r="G4" s="1573"/>
    </row>
    <row r="7" spans="1:7" ht="13.5" thickBot="1"/>
    <row r="8" spans="1:7" s="148" customFormat="1" ht="40.5" customHeight="1" thickBot="1">
      <c r="A8" s="143" t="s">
        <v>285</v>
      </c>
      <c r="B8" s="593" t="s">
        <v>208</v>
      </c>
      <c r="C8" s="594" t="s">
        <v>187</v>
      </c>
      <c r="D8" s="593" t="s">
        <v>477</v>
      </c>
      <c r="E8" s="595" t="s">
        <v>166</v>
      </c>
      <c r="F8" s="595" t="s">
        <v>167</v>
      </c>
      <c r="G8" s="594" t="s">
        <v>476</v>
      </c>
    </row>
    <row r="9" spans="1:7" s="81" customFormat="1" ht="18">
      <c r="A9" s="142" t="s">
        <v>188</v>
      </c>
      <c r="B9" s="508">
        <v>0.75</v>
      </c>
      <c r="C9" s="509">
        <v>0.8</v>
      </c>
      <c r="D9" s="508">
        <f>'XIII-SUCESSO-Ano-Disciplina'!C20</f>
        <v>0.79012345679012341</v>
      </c>
      <c r="E9" s="154"/>
      <c r="F9" s="154"/>
      <c r="G9" s="509"/>
    </row>
    <row r="10" spans="1:7" s="81" customFormat="1" ht="18">
      <c r="A10" s="130" t="s">
        <v>24</v>
      </c>
      <c r="B10" s="129">
        <v>0.76</v>
      </c>
      <c r="C10" s="184">
        <v>0.8</v>
      </c>
      <c r="D10" s="129">
        <f>'XIII-SUCESSO-Ano-Disciplina'!E20</f>
        <v>0.88976377952755903</v>
      </c>
      <c r="E10" s="128"/>
      <c r="F10" s="128"/>
      <c r="G10" s="184"/>
    </row>
    <row r="11" spans="1:7" s="81" customFormat="1" ht="18">
      <c r="A11" s="130" t="s">
        <v>189</v>
      </c>
      <c r="B11" s="129">
        <v>0.83</v>
      </c>
      <c r="C11" s="184">
        <v>0.83</v>
      </c>
      <c r="D11" s="129">
        <f>'XIII-SUCESSO-Ano-Disciplina'!F20</f>
        <v>0.88976377952755903</v>
      </c>
      <c r="E11" s="128"/>
      <c r="F11" s="128"/>
      <c r="G11" s="184"/>
    </row>
    <row r="12" spans="1:7" s="81" customFormat="1" ht="18">
      <c r="A12" s="130" t="s">
        <v>95</v>
      </c>
      <c r="B12" s="129">
        <v>0.69</v>
      </c>
      <c r="C12" s="184">
        <v>0.75</v>
      </c>
      <c r="D12" s="129">
        <f>'XIII-SUCESSO-Ano-Disciplina'!G20</f>
        <v>0.75390625</v>
      </c>
      <c r="E12" s="128"/>
      <c r="F12" s="128"/>
      <c r="G12" s="184"/>
    </row>
    <row r="13" spans="1:7" s="81" customFormat="1" ht="18">
      <c r="A13" s="130" t="s">
        <v>59</v>
      </c>
      <c r="B13" s="129">
        <v>0.83</v>
      </c>
      <c r="C13" s="184">
        <v>0.83</v>
      </c>
      <c r="D13" s="129">
        <f>'XIII-SUCESSO-Ano-Disciplina'!H20</f>
        <v>0.89763779527559051</v>
      </c>
      <c r="E13" s="128"/>
      <c r="F13" s="128"/>
      <c r="G13" s="184"/>
    </row>
    <row r="14" spans="1:7" s="81" customFormat="1" ht="18">
      <c r="A14" s="130" t="s">
        <v>190</v>
      </c>
      <c r="B14" s="129">
        <v>0.87</v>
      </c>
      <c r="C14" s="184">
        <v>0.87</v>
      </c>
      <c r="D14" s="129">
        <f>'XIII-SUCESSO-Ano-Disciplina'!J20</f>
        <v>0.90944881889763785</v>
      </c>
      <c r="E14" s="128"/>
      <c r="F14" s="128"/>
      <c r="G14" s="184"/>
    </row>
    <row r="15" spans="1:7" s="81" customFormat="1" ht="18">
      <c r="A15" s="130" t="s">
        <v>191</v>
      </c>
      <c r="B15" s="129">
        <v>0.84</v>
      </c>
      <c r="C15" s="184">
        <v>0.84</v>
      </c>
      <c r="D15" s="129">
        <f>'XIII-SUCESSO-Ano-Disciplina'!I20</f>
        <v>0.92519685039370081</v>
      </c>
      <c r="E15" s="128"/>
      <c r="F15" s="128"/>
      <c r="G15" s="184"/>
    </row>
    <row r="16" spans="1:7" s="81" customFormat="1" ht="18">
      <c r="A16" s="130" t="s">
        <v>192</v>
      </c>
      <c r="B16" s="129">
        <v>0.91</v>
      </c>
      <c r="C16" s="184">
        <v>0.91</v>
      </c>
      <c r="D16" s="129">
        <f>'XIII-SUCESSO-Ano-Disciplina'!K20</f>
        <v>0.90944881889763785</v>
      </c>
      <c r="E16" s="128"/>
      <c r="F16" s="128"/>
      <c r="G16" s="184"/>
    </row>
    <row r="17" spans="1:26" ht="13.5" thickBot="1"/>
    <row r="18" spans="1:26" s="149" customFormat="1" ht="42.75" customHeight="1" thickBot="1">
      <c r="A18" s="143" t="s">
        <v>284</v>
      </c>
      <c r="B18" s="593" t="s">
        <v>208</v>
      </c>
      <c r="C18" s="594" t="s">
        <v>187</v>
      </c>
      <c r="D18" s="593" t="s">
        <v>477</v>
      </c>
      <c r="E18" s="595" t="s">
        <v>166</v>
      </c>
      <c r="F18" s="595" t="s">
        <v>167</v>
      </c>
      <c r="G18" s="594" t="s">
        <v>476</v>
      </c>
    </row>
    <row r="19" spans="1:26" ht="18">
      <c r="A19" s="142" t="s">
        <v>188</v>
      </c>
      <c r="B19" s="129">
        <v>0.72</v>
      </c>
      <c r="C19" s="184">
        <v>0.75</v>
      </c>
      <c r="D19" s="129">
        <f>'XIII-SUCESSO-Ano-Disciplina'!B27</f>
        <v>0.78618421052631582</v>
      </c>
      <c r="E19" s="128"/>
      <c r="F19" s="128"/>
      <c r="G19" s="184"/>
    </row>
    <row r="20" spans="1:26" ht="18">
      <c r="A20" s="130" t="s">
        <v>24</v>
      </c>
      <c r="B20" s="129">
        <v>0.7</v>
      </c>
      <c r="C20" s="184">
        <v>0.75</v>
      </c>
      <c r="D20" s="129">
        <f>'XIII-SUCESSO-Ano-Disciplina'!D27</f>
        <v>0.67701863354037262</v>
      </c>
      <c r="E20" s="128"/>
      <c r="F20" s="128"/>
      <c r="G20" s="184"/>
    </row>
    <row r="21" spans="1:26" ht="18">
      <c r="A21" s="130" t="s">
        <v>193</v>
      </c>
      <c r="B21" s="129">
        <v>0.74</v>
      </c>
      <c r="C21" s="184">
        <v>0.75</v>
      </c>
      <c r="D21" s="129">
        <f>'XIII-SUCESSO-Ano-Disciplina'!E27</f>
        <v>0.78923766816143492</v>
      </c>
      <c r="E21" s="128"/>
      <c r="F21" s="128"/>
      <c r="G21" s="184"/>
    </row>
    <row r="22" spans="1:26" ht="18">
      <c r="A22" s="130" t="s">
        <v>194</v>
      </c>
      <c r="B22" s="129">
        <v>0.82</v>
      </c>
      <c r="C22" s="184">
        <v>0.9</v>
      </c>
      <c r="D22" s="129">
        <f>'XIII-SUCESSO-Ano-Disciplina'!F27</f>
        <v>0.83838383838383834</v>
      </c>
      <c r="E22" s="128"/>
      <c r="F22" s="128"/>
      <c r="G22" s="184"/>
    </row>
    <row r="23" spans="1:26" ht="18">
      <c r="A23" s="130" t="s">
        <v>195</v>
      </c>
      <c r="B23" s="129">
        <v>0.7</v>
      </c>
      <c r="C23" s="184">
        <v>0.8</v>
      </c>
      <c r="D23" s="129">
        <f>'XIII-SUCESSO-Ano-Disciplina'!G27</f>
        <v>0.7639751552795031</v>
      </c>
      <c r="E23" s="128"/>
      <c r="F23" s="128"/>
      <c r="G23" s="184"/>
    </row>
    <row r="24" spans="1:26" ht="18">
      <c r="A24" s="130" t="s">
        <v>196</v>
      </c>
      <c r="B24" s="129">
        <v>0.65</v>
      </c>
      <c r="C24" s="184">
        <v>0.8</v>
      </c>
      <c r="D24" s="129">
        <f>'XIII-SUCESSO-Ano-Disciplina'!H27</f>
        <v>0.63975155279503104</v>
      </c>
      <c r="E24" s="128"/>
      <c r="F24" s="128"/>
      <c r="G24" s="184"/>
    </row>
    <row r="25" spans="1:26" ht="18">
      <c r="A25" s="130" t="s">
        <v>95</v>
      </c>
      <c r="B25" s="129">
        <v>0.51</v>
      </c>
      <c r="C25" s="184">
        <v>0.7</v>
      </c>
      <c r="D25" s="129">
        <f>'XIII-SUCESSO-Ano-Disciplina'!I27</f>
        <v>0.59937888198757761</v>
      </c>
      <c r="E25" s="128"/>
      <c r="F25" s="128"/>
      <c r="G25" s="184"/>
    </row>
    <row r="26" spans="1:26" ht="18">
      <c r="A26" s="130" t="s">
        <v>150</v>
      </c>
      <c r="B26" s="129">
        <v>0.63</v>
      </c>
      <c r="C26" s="184">
        <v>0.75</v>
      </c>
      <c r="D26" s="129">
        <f>'XIII-SUCESSO-Ano-Disciplina'!K27</f>
        <v>0.72981366459627328</v>
      </c>
      <c r="E26" s="128"/>
      <c r="F26" s="128"/>
      <c r="G26" s="184"/>
    </row>
    <row r="27" spans="1:26" ht="18">
      <c r="A27" s="130" t="s">
        <v>59</v>
      </c>
      <c r="B27" s="129">
        <v>0.81</v>
      </c>
      <c r="C27" s="184">
        <v>0.85</v>
      </c>
      <c r="D27" s="129">
        <f>'XIII-SUCESSO-Ano-Disciplina'!J27</f>
        <v>0.82608695652173914</v>
      </c>
      <c r="E27" s="128"/>
      <c r="F27" s="128"/>
      <c r="G27" s="184"/>
      <c r="Z27" s="193"/>
    </row>
    <row r="28" spans="1:26" ht="18">
      <c r="A28" s="130" t="s">
        <v>197</v>
      </c>
      <c r="B28" s="129">
        <v>0.79</v>
      </c>
      <c r="C28" s="184">
        <v>0.9</v>
      </c>
      <c r="D28" s="129">
        <f>'XIII-SUCESSO-Ano-Disciplina'!L27</f>
        <v>0.86335403726708071</v>
      </c>
      <c r="E28" s="128"/>
      <c r="F28" s="128"/>
      <c r="G28" s="184"/>
    </row>
    <row r="29" spans="1:26" ht="18">
      <c r="A29" s="130" t="s">
        <v>198</v>
      </c>
      <c r="B29" s="129">
        <v>0.9</v>
      </c>
      <c r="C29" s="184">
        <v>0.95</v>
      </c>
      <c r="D29" s="129">
        <f>'XIII-SUCESSO-Ano-Disciplina'!O27</f>
        <v>0.90254237288135597</v>
      </c>
      <c r="E29" s="128"/>
      <c r="F29" s="128"/>
      <c r="G29" s="184"/>
    </row>
    <row r="30" spans="1:26" ht="18">
      <c r="A30" s="130" t="s">
        <v>263</v>
      </c>
      <c r="B30" s="129">
        <v>0.98</v>
      </c>
      <c r="C30" s="184">
        <v>1</v>
      </c>
      <c r="D30" s="129">
        <f>'XIII-SUCESSO-Ano-Disciplina'!M27</f>
        <v>0.95652173913043481</v>
      </c>
      <c r="E30" s="128"/>
      <c r="F30" s="128"/>
      <c r="G30" s="184"/>
    </row>
    <row r="31" spans="1:26" ht="18">
      <c r="A31" s="130" t="s">
        <v>264</v>
      </c>
      <c r="B31" s="129">
        <v>0.98</v>
      </c>
      <c r="C31" s="184">
        <v>1</v>
      </c>
      <c r="D31" s="129">
        <f>'XIII-SUCESSO-Ano-Disciplina'!N27</f>
        <v>0.9285714285714286</v>
      </c>
      <c r="E31" s="128"/>
      <c r="F31" s="128"/>
      <c r="G31" s="184"/>
    </row>
    <row r="32" spans="1:26" ht="18">
      <c r="A32" s="130" t="s">
        <v>192</v>
      </c>
      <c r="B32" s="129">
        <v>0.91</v>
      </c>
      <c r="C32" s="184">
        <v>0.95</v>
      </c>
      <c r="D32" s="129">
        <f>'XIII-SUCESSO-Ano-Disciplina'!P27</f>
        <v>0.80720143854588489</v>
      </c>
      <c r="E32" s="128"/>
      <c r="F32" s="128"/>
      <c r="G32" s="184"/>
    </row>
    <row r="33" spans="1:10" ht="18">
      <c r="A33" s="130" t="s">
        <v>199</v>
      </c>
      <c r="B33" s="129">
        <v>1</v>
      </c>
      <c r="C33" s="185">
        <v>1</v>
      </c>
      <c r="D33" s="129">
        <f>'X-9º ANO'!AB13</f>
        <v>1</v>
      </c>
      <c r="E33" s="128"/>
      <c r="F33" s="128"/>
      <c r="G33" s="185"/>
    </row>
    <row r="34" spans="1:10" ht="13.5" thickBot="1"/>
    <row r="35" spans="1:10" s="149" customFormat="1" ht="34.5" customHeight="1" thickBot="1">
      <c r="A35" s="143" t="s">
        <v>283</v>
      </c>
      <c r="B35" s="593" t="s">
        <v>208</v>
      </c>
      <c r="C35" s="594" t="s">
        <v>187</v>
      </c>
      <c r="D35" s="593" t="s">
        <v>477</v>
      </c>
      <c r="E35" s="595" t="s">
        <v>166</v>
      </c>
      <c r="F35" s="595" t="s">
        <v>167</v>
      </c>
      <c r="G35" s="594" t="s">
        <v>476</v>
      </c>
    </row>
    <row r="36" spans="1:10" ht="18">
      <c r="A36" s="142" t="s">
        <v>200</v>
      </c>
      <c r="B36" s="508">
        <v>0.94</v>
      </c>
      <c r="C36" s="509">
        <v>0.95</v>
      </c>
      <c r="D36" s="510" t="e">
        <f>'XVII-SUCESSO-Escolas'!E35</f>
        <v>#REF!</v>
      </c>
      <c r="E36" s="154"/>
      <c r="F36" s="154"/>
      <c r="G36" s="184"/>
    </row>
    <row r="37" spans="1:10" ht="18">
      <c r="A37" s="130" t="s">
        <v>201</v>
      </c>
      <c r="B37" s="129">
        <v>0.82</v>
      </c>
      <c r="C37" s="184">
        <v>0.84</v>
      </c>
      <c r="D37" s="129" t="e">
        <f>'XVII-SUCESSO-Escolas'!E39</f>
        <v>#REF!</v>
      </c>
      <c r="E37" s="128"/>
      <c r="F37" s="128"/>
      <c r="G37" s="184"/>
      <c r="J37" s="193"/>
    </row>
    <row r="38" spans="1:10" ht="18">
      <c r="A38" s="130" t="s">
        <v>6</v>
      </c>
      <c r="B38" s="129">
        <v>0.67</v>
      </c>
      <c r="C38" s="184">
        <v>0.8</v>
      </c>
      <c r="D38" s="129" t="e">
        <f>'XVII-SUCESSO-Escolas'!E44</f>
        <v>#REF!</v>
      </c>
      <c r="E38" s="128"/>
      <c r="F38" s="128"/>
      <c r="G38" s="184"/>
    </row>
    <row r="39" spans="1:10" ht="18">
      <c r="A39" s="205" t="s">
        <v>0</v>
      </c>
      <c r="B39" s="129">
        <v>0.83</v>
      </c>
      <c r="C39" s="184">
        <v>0.86</v>
      </c>
      <c r="D39" s="129" t="e">
        <f>'XVII-SUCESSO-Escolas'!E46</f>
        <v>#REF!</v>
      </c>
      <c r="E39" s="128"/>
      <c r="F39" s="128"/>
      <c r="G39" s="185"/>
    </row>
    <row r="40" spans="1:10" ht="13.5" thickBot="1">
      <c r="G40" s="191"/>
    </row>
    <row r="41" spans="1:10" s="149" customFormat="1" ht="33" customHeight="1" thickBot="1">
      <c r="A41" s="143" t="s">
        <v>286</v>
      </c>
      <c r="B41" s="593" t="s">
        <v>202</v>
      </c>
      <c r="C41" s="594" t="s">
        <v>187</v>
      </c>
      <c r="D41" s="593" t="s">
        <v>477</v>
      </c>
      <c r="E41" s="595" t="s">
        <v>166</v>
      </c>
      <c r="F41" s="595" t="s">
        <v>167</v>
      </c>
      <c r="G41" s="594" t="s">
        <v>476</v>
      </c>
    </row>
    <row r="42" spans="1:10" ht="18">
      <c r="A42" s="142" t="s">
        <v>287</v>
      </c>
      <c r="B42" s="511">
        <v>0.40799999999999997</v>
      </c>
      <c r="C42" s="509">
        <v>0.25</v>
      </c>
      <c r="D42" s="510" t="e">
        <f>'XV-INDISCIPLINA'!B47/('XII-RESUMO'!C14+'XII-RESUMO'!C18)</f>
        <v>#DIV/0!</v>
      </c>
      <c r="E42" s="154"/>
      <c r="F42" s="154"/>
      <c r="G42" s="184"/>
    </row>
    <row r="43" spans="1:10" ht="18">
      <c r="A43" s="130" t="s">
        <v>288</v>
      </c>
      <c r="B43" s="187">
        <v>5.1999999999999998E-2</v>
      </c>
      <c r="C43" s="184">
        <v>0.1</v>
      </c>
      <c r="D43" s="317" t="e">
        <f>'XV-INDISCIPLINA'!G47/('XII-RESUMO'!C14+'XII-RESUMO'!C18)</f>
        <v>#DIV/0!</v>
      </c>
      <c r="E43" s="128"/>
      <c r="F43" s="128"/>
      <c r="G43" s="184"/>
    </row>
    <row r="44" spans="1:10" ht="18">
      <c r="A44" s="130" t="s">
        <v>289</v>
      </c>
      <c r="B44" s="187">
        <v>9.7000000000000003E-2</v>
      </c>
      <c r="C44" s="184">
        <v>0.05</v>
      </c>
      <c r="D44" s="317" t="e">
        <f>'XV-INDISCIPLINA'!S47/('XII-RESUMO'!C14+'XII-RESUMO'!C18)</f>
        <v>#DIV/0!</v>
      </c>
      <c r="E44" s="128"/>
      <c r="F44" s="128"/>
      <c r="G44" s="184"/>
    </row>
    <row r="45" spans="1:10" ht="18">
      <c r="A45" s="130" t="s">
        <v>203</v>
      </c>
      <c r="B45" s="188">
        <v>0.21</v>
      </c>
      <c r="C45" s="184">
        <v>0.15</v>
      </c>
      <c r="D45" s="317" t="e">
        <f>'XVIII-F. MATERIAL e PIT'!G16/'XVIII-F. MATERIAL e PIT'!B16</f>
        <v>#REF!</v>
      </c>
      <c r="E45" s="128"/>
      <c r="F45" s="128"/>
      <c r="G45" s="184"/>
    </row>
    <row r="46" spans="1:10" ht="16.5" customHeight="1">
      <c r="A46" s="150" t="s">
        <v>204</v>
      </c>
      <c r="B46" s="189">
        <v>7.0000000000000007E-2</v>
      </c>
      <c r="C46" s="186">
        <v>0.05</v>
      </c>
      <c r="D46" s="379">
        <f>'XVIII-F. MATERIAL e PIT'!D14</f>
        <v>0.17701863354037267</v>
      </c>
      <c r="E46" s="127"/>
      <c r="F46" s="127"/>
      <c r="G46" s="185"/>
    </row>
    <row r="49" spans="1:1">
      <c r="A49" s="248"/>
    </row>
  </sheetData>
  <mergeCells count="1">
    <mergeCell ref="A3:G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useFirstPageNumber="1" r:id="rId1"/>
  <headerFooter>
    <oddHeader>&amp;L&amp;"Trebuchet MS,Negrito"&amp;12&amp;K01+018AGRUPAMENTO DE ESCOLAS MIGUEL TORGA&amp;C
&amp;R&amp;"Trebuchet MS,Negrito itálico"&amp;12AUTO - AVALIAÇÃO
2ºPeríodo  2011/12
Tabela XXII</oddHeader>
    <oddFooter>&amp;C
&amp;R22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Z39"/>
  <sheetViews>
    <sheetView showGridLines="0" topLeftCell="A8" workbookViewId="0">
      <selection activeCell="H26" sqref="H26"/>
    </sheetView>
  </sheetViews>
  <sheetFormatPr defaultRowHeight="12.75"/>
  <cols>
    <col min="1" max="1" width="20.85546875" customWidth="1"/>
    <col min="2" max="2" width="13.7109375" customWidth="1"/>
    <col min="3" max="3" width="11.28515625" customWidth="1"/>
    <col min="4" max="4" width="12.42578125" customWidth="1"/>
    <col min="5" max="5" width="9.42578125" hidden="1" customWidth="1"/>
    <col min="6" max="6" width="9.28515625" hidden="1" customWidth="1"/>
    <col min="7" max="7" width="12.85546875" customWidth="1"/>
  </cols>
  <sheetData>
    <row r="2" spans="1:7" ht="13.5" thickBot="1"/>
    <row r="3" spans="1:7" ht="12.75" customHeight="1">
      <c r="A3" s="1568" t="s">
        <v>215</v>
      </c>
      <c r="B3" s="1569"/>
      <c r="C3" s="1569"/>
      <c r="D3" s="1569"/>
      <c r="E3" s="1569"/>
      <c r="F3" s="1569"/>
      <c r="G3" s="1570"/>
    </row>
    <row r="4" spans="1:7" ht="20.25" customHeight="1" thickBot="1">
      <c r="A4" s="1571"/>
      <c r="B4" s="1572"/>
      <c r="C4" s="1572"/>
      <c r="D4" s="1572"/>
      <c r="E4" s="1572"/>
      <c r="F4" s="1572"/>
      <c r="G4" s="1573"/>
    </row>
    <row r="5" spans="1:7" ht="20.25" customHeight="1">
      <c r="B5" s="151"/>
      <c r="C5" s="151"/>
      <c r="D5" s="151"/>
      <c r="E5" s="151"/>
    </row>
    <row r="6" spans="1:7" ht="20.25" customHeight="1">
      <c r="B6" s="151"/>
      <c r="C6" s="151"/>
      <c r="D6" s="151"/>
      <c r="E6" s="151"/>
    </row>
    <row r="7" spans="1:7" ht="13.5" thickBot="1"/>
    <row r="8" spans="1:7" ht="51.75" customHeight="1" thickBot="1">
      <c r="A8" s="143" t="s">
        <v>212</v>
      </c>
      <c r="B8" s="144" t="s">
        <v>213</v>
      </c>
      <c r="C8" s="145" t="s">
        <v>187</v>
      </c>
      <c r="D8" s="593" t="s">
        <v>477</v>
      </c>
      <c r="E8" s="147" t="s">
        <v>166</v>
      </c>
      <c r="F8" s="147" t="s">
        <v>167</v>
      </c>
      <c r="G8" s="594" t="s">
        <v>476</v>
      </c>
    </row>
    <row r="9" spans="1:7" ht="18">
      <c r="A9" s="142" t="s">
        <v>200</v>
      </c>
      <c r="B9" s="129">
        <v>0.94</v>
      </c>
      <c r="C9" s="184">
        <v>0.95</v>
      </c>
      <c r="D9" s="317" t="e">
        <f>'XVII-SUCESSO-Escolas'!E35</f>
        <v>#REF!</v>
      </c>
      <c r="E9" s="129"/>
      <c r="F9" s="129"/>
      <c r="G9" s="509"/>
    </row>
    <row r="10" spans="1:7" ht="18">
      <c r="A10" s="130" t="s">
        <v>201</v>
      </c>
      <c r="B10" s="129">
        <v>0.82</v>
      </c>
      <c r="C10" s="184">
        <v>0.84</v>
      </c>
      <c r="D10" s="317" t="e">
        <f>'XVII-SUCESSO-Escolas'!E39</f>
        <v>#REF!</v>
      </c>
      <c r="E10" s="129"/>
      <c r="F10" s="129"/>
      <c r="G10" s="184"/>
    </row>
    <row r="11" spans="1:7" ht="18">
      <c r="A11" s="130" t="s">
        <v>6</v>
      </c>
      <c r="B11" s="129">
        <v>0.67</v>
      </c>
      <c r="C11" s="184">
        <v>0.8</v>
      </c>
      <c r="D11" s="317" t="e">
        <f>'XVII-SUCESSO-Escolas'!E44</f>
        <v>#REF!</v>
      </c>
      <c r="E11" s="129"/>
      <c r="F11" s="129"/>
      <c r="G11" s="184"/>
    </row>
    <row r="12" spans="1:7" ht="18">
      <c r="A12" s="130" t="s">
        <v>0</v>
      </c>
      <c r="B12" s="129">
        <v>0.83</v>
      </c>
      <c r="C12" s="184">
        <v>0.86</v>
      </c>
      <c r="D12" s="317" t="e">
        <f>'XVII-SUCESSO-Escolas'!E46</f>
        <v>#REF!</v>
      </c>
      <c r="E12" s="129"/>
      <c r="F12" s="129"/>
      <c r="G12" s="184"/>
    </row>
    <row r="13" spans="1:7" ht="18">
      <c r="A13" s="152"/>
      <c r="B13" s="108"/>
      <c r="C13" s="153"/>
      <c r="D13" s="108"/>
      <c r="E13" s="108"/>
      <c r="F13" s="108"/>
      <c r="G13" s="108"/>
    </row>
    <row r="14" spans="1:7" ht="13.5" thickBot="1"/>
    <row r="15" spans="1:7" ht="50.25" customHeight="1" thickBot="1">
      <c r="A15" s="143" t="s">
        <v>206</v>
      </c>
      <c r="B15" s="144" t="s">
        <v>208</v>
      </c>
      <c r="C15" s="145" t="s">
        <v>187</v>
      </c>
      <c r="D15" s="593" t="s">
        <v>477</v>
      </c>
      <c r="E15" s="147" t="s">
        <v>166</v>
      </c>
      <c r="F15" s="147" t="s">
        <v>167</v>
      </c>
      <c r="G15" s="594" t="s">
        <v>476</v>
      </c>
    </row>
    <row r="16" spans="1:7" ht="18">
      <c r="A16" s="142" t="s">
        <v>205</v>
      </c>
      <c r="B16" s="129">
        <v>0.75</v>
      </c>
      <c r="C16" s="184">
        <v>0.8</v>
      </c>
      <c r="D16" s="317">
        <f>'XIII-SUCESSO-Ano-Disciplina'!C20</f>
        <v>0.79012345679012341</v>
      </c>
      <c r="E16" s="129"/>
      <c r="F16" s="129"/>
      <c r="G16" s="509"/>
    </row>
    <row r="17" spans="1:26" ht="18">
      <c r="A17" s="130" t="s">
        <v>95</v>
      </c>
      <c r="B17" s="129">
        <v>0.69</v>
      </c>
      <c r="C17" s="184">
        <v>0.75</v>
      </c>
      <c r="D17" s="317">
        <f>'XIII-SUCESSO-Ano-Disciplina'!G20</f>
        <v>0.75390625</v>
      </c>
      <c r="E17" s="129"/>
      <c r="F17" s="129"/>
      <c r="G17" s="184"/>
    </row>
    <row r="18" spans="1:26" ht="18">
      <c r="A18" s="152"/>
      <c r="B18" s="108"/>
      <c r="C18" s="153"/>
      <c r="D18" s="108"/>
      <c r="E18" s="108"/>
      <c r="F18" s="108"/>
      <c r="G18" s="108"/>
    </row>
    <row r="19" spans="1:26" ht="13.5" thickBot="1"/>
    <row r="20" spans="1:26" ht="45.75" customHeight="1" thickBot="1">
      <c r="A20" s="143" t="s">
        <v>207</v>
      </c>
      <c r="B20" s="144" t="s">
        <v>208</v>
      </c>
      <c r="C20" s="145" t="s">
        <v>187</v>
      </c>
      <c r="D20" s="593" t="s">
        <v>477</v>
      </c>
      <c r="E20" s="147" t="s">
        <v>166</v>
      </c>
      <c r="F20" s="147" t="s">
        <v>167</v>
      </c>
      <c r="G20" s="594" t="s">
        <v>476</v>
      </c>
    </row>
    <row r="21" spans="1:26" ht="18">
      <c r="A21" s="142" t="s">
        <v>205</v>
      </c>
      <c r="B21" s="129">
        <v>0.72</v>
      </c>
      <c r="C21" s="184">
        <v>0.75</v>
      </c>
      <c r="D21" s="317">
        <f>'XIII-SUCESSO-Ano-Disciplina'!B27</f>
        <v>0.78618421052631582</v>
      </c>
      <c r="E21" s="129"/>
      <c r="F21" s="129"/>
      <c r="G21" s="509"/>
    </row>
    <row r="22" spans="1:26" ht="18">
      <c r="A22" s="130" t="s">
        <v>95</v>
      </c>
      <c r="B22" s="129">
        <v>0.51</v>
      </c>
      <c r="C22" s="184">
        <v>0.7</v>
      </c>
      <c r="D22" s="317">
        <f>'XIII-SUCESSO-Ano-Disciplina'!I27</f>
        <v>0.59937888198757761</v>
      </c>
      <c r="E22" s="129"/>
      <c r="F22" s="129"/>
      <c r="G22" s="184"/>
    </row>
    <row r="23" spans="1:26" ht="18">
      <c r="A23" s="130" t="s">
        <v>24</v>
      </c>
      <c r="B23" s="129">
        <v>0.7</v>
      </c>
      <c r="C23" s="184">
        <v>0.75</v>
      </c>
      <c r="D23" s="317">
        <f>'XIII-SUCESSO-Ano-Disciplina'!D27</f>
        <v>0.67701863354037262</v>
      </c>
      <c r="E23" s="129"/>
      <c r="F23" s="129"/>
      <c r="G23" s="184"/>
    </row>
    <row r="24" spans="1:26" ht="18">
      <c r="A24" s="152"/>
      <c r="B24" s="108"/>
      <c r="C24" s="153"/>
      <c r="D24" s="108"/>
      <c r="E24" s="108"/>
      <c r="F24" s="108"/>
      <c r="G24" s="108"/>
    </row>
    <row r="25" spans="1:26" ht="13.5" thickBot="1"/>
    <row r="26" spans="1:26" ht="48" customHeight="1" thickBot="1">
      <c r="A26" s="143" t="s">
        <v>210</v>
      </c>
      <c r="B26" s="144" t="s">
        <v>214</v>
      </c>
      <c r="C26" s="145" t="s">
        <v>187</v>
      </c>
      <c r="D26" s="593" t="s">
        <v>477</v>
      </c>
      <c r="E26" s="147" t="s">
        <v>166</v>
      </c>
      <c r="F26" s="147" t="s">
        <v>167</v>
      </c>
      <c r="G26" s="594" t="s">
        <v>476</v>
      </c>
    </row>
    <row r="27" spans="1:26" ht="18">
      <c r="A27" s="142" t="s">
        <v>211</v>
      </c>
      <c r="B27" s="129">
        <v>0.66</v>
      </c>
      <c r="C27" s="184">
        <v>0.8</v>
      </c>
      <c r="D27" s="318" t="e">
        <f>'XII-RESUMO'!D19</f>
        <v>#DIV/0!</v>
      </c>
      <c r="E27" s="188"/>
      <c r="F27" s="188"/>
      <c r="G27" s="509"/>
      <c r="Z27" s="193"/>
    </row>
    <row r="28" spans="1:26" ht="18">
      <c r="A28" s="150" t="s">
        <v>209</v>
      </c>
      <c r="B28" s="188">
        <v>0.74</v>
      </c>
      <c r="C28" s="184">
        <v>0.75</v>
      </c>
      <c r="D28" s="318">
        <f>12/13</f>
        <v>0.92307692307692313</v>
      </c>
      <c r="E28" s="189"/>
      <c r="F28" s="189"/>
      <c r="G28" s="184"/>
    </row>
    <row r="30" spans="1:26">
      <c r="A30" s="484"/>
      <c r="B30" s="484"/>
      <c r="C30" s="484"/>
      <c r="D30" s="484"/>
      <c r="E30" s="484"/>
      <c r="F30" s="484"/>
      <c r="G30" s="484"/>
    </row>
    <row r="31" spans="1:26">
      <c r="A31" s="484"/>
      <c r="B31" s="484"/>
      <c r="C31" s="484"/>
      <c r="D31" s="484"/>
      <c r="E31" s="484"/>
      <c r="F31" s="484"/>
      <c r="G31" s="484"/>
    </row>
    <row r="32" spans="1:26">
      <c r="A32" s="484"/>
      <c r="B32" s="484"/>
      <c r="C32" s="484"/>
      <c r="D32" s="484"/>
      <c r="E32" s="484"/>
      <c r="F32" s="484"/>
      <c r="G32" s="484"/>
    </row>
    <row r="33" spans="1:7">
      <c r="A33" s="484"/>
      <c r="B33" s="484"/>
      <c r="C33" s="484"/>
      <c r="D33" s="484"/>
      <c r="E33" s="484"/>
      <c r="F33" s="484"/>
      <c r="G33" s="484"/>
    </row>
    <row r="34" spans="1:7">
      <c r="A34" s="484"/>
      <c r="B34" s="484"/>
      <c r="C34" s="484"/>
      <c r="D34" s="484"/>
      <c r="E34" s="484"/>
      <c r="F34" s="484"/>
      <c r="G34" s="484"/>
    </row>
    <row r="35" spans="1:7">
      <c r="A35" s="484"/>
      <c r="B35" s="484"/>
      <c r="C35" s="484"/>
      <c r="D35" s="484"/>
      <c r="E35" s="484"/>
      <c r="F35" s="484"/>
      <c r="G35" s="484"/>
    </row>
    <row r="36" spans="1:7">
      <c r="A36" s="484"/>
      <c r="B36" s="484"/>
      <c r="C36" s="484"/>
      <c r="D36" s="484"/>
      <c r="E36" s="484"/>
      <c r="F36" s="484"/>
      <c r="G36" s="484"/>
    </row>
    <row r="37" spans="1:7">
      <c r="A37" s="484"/>
      <c r="B37" s="484"/>
      <c r="C37" s="484"/>
      <c r="D37" s="484"/>
      <c r="E37" s="484"/>
      <c r="F37" s="484"/>
      <c r="G37" s="484"/>
    </row>
    <row r="38" spans="1:7">
      <c r="A38" s="484"/>
      <c r="B38" s="484"/>
      <c r="C38" s="484"/>
      <c r="D38" s="484"/>
      <c r="E38" s="484"/>
      <c r="F38" s="484"/>
      <c r="G38" s="484"/>
    </row>
    <row r="39" spans="1:7">
      <c r="A39" s="484"/>
      <c r="B39" s="484"/>
      <c r="C39" s="484"/>
      <c r="D39" s="484"/>
      <c r="E39" s="484"/>
      <c r="F39" s="484"/>
      <c r="G39" s="484"/>
    </row>
  </sheetData>
  <mergeCells count="1">
    <mergeCell ref="A3:G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useFirstPageNumber="1" r:id="rId1"/>
  <headerFooter>
    <oddHeader>&amp;L&amp;"Trebuchet MS,Negrito"&amp;12&amp;K01+018AGRUPAMENTO DE ESCOLAS MIGUEL TORGA&amp;C
&amp;R&amp;"Trebuchet MS,Negrito itálico"&amp;12AUTO - AVALIAÇÃO
2ºPeríodo  2011/12
Tabela XXIII</oddHeader>
    <oddFooter>&amp;C
&amp;R23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5:V54"/>
  <sheetViews>
    <sheetView topLeftCell="A7" workbookViewId="0">
      <selection activeCell="A31" sqref="A31:I31"/>
    </sheetView>
  </sheetViews>
  <sheetFormatPr defaultRowHeight="12.75"/>
  <cols>
    <col min="1" max="1" width="9.28515625" customWidth="1"/>
    <col min="2" max="2" width="9.85546875" customWidth="1"/>
    <col min="3" max="3" width="12.42578125" customWidth="1"/>
    <col min="4" max="4" width="8.7109375" customWidth="1"/>
    <col min="5" max="5" width="13.140625" customWidth="1"/>
    <col min="6" max="6" width="9.85546875" customWidth="1"/>
    <col min="7" max="7" width="12.42578125" customWidth="1"/>
    <col min="8" max="8" width="9.42578125" customWidth="1"/>
    <col min="9" max="9" width="15" customWidth="1"/>
  </cols>
  <sheetData>
    <row r="5" spans="1:9" ht="15" customHeight="1"/>
    <row r="6" spans="1:9" ht="17.25" customHeight="1"/>
    <row r="7" spans="1:9" ht="19.5" customHeight="1" thickBot="1">
      <c r="A7" s="1586" t="s">
        <v>542</v>
      </c>
      <c r="B7" s="1586"/>
      <c r="C7" s="1586"/>
      <c r="D7" s="1586"/>
      <c r="E7" s="1586"/>
      <c r="F7" s="1586"/>
      <c r="G7" s="1586"/>
      <c r="H7" s="1586"/>
      <c r="I7" s="1586"/>
    </row>
    <row r="8" spans="1:9" ht="15" customHeight="1" thickBot="1">
      <c r="A8" s="1588" t="s">
        <v>275</v>
      </c>
      <c r="B8" s="1588"/>
      <c r="C8" s="1588"/>
      <c r="D8" s="1588"/>
      <c r="E8" s="1588"/>
      <c r="F8" s="1588"/>
      <c r="G8" s="1588"/>
      <c r="H8" s="1588"/>
      <c r="I8" s="1588"/>
    </row>
    <row r="9" spans="1:9" ht="21.75" thickBot="1">
      <c r="A9" s="1587" t="s">
        <v>128</v>
      </c>
      <c r="B9" s="1582" t="s">
        <v>559</v>
      </c>
      <c r="C9" s="1583"/>
      <c r="D9" s="1583"/>
      <c r="E9" s="1583"/>
      <c r="F9" s="1582" t="s">
        <v>227</v>
      </c>
      <c r="G9" s="1583"/>
      <c r="H9" s="1583"/>
      <c r="I9" s="1583"/>
    </row>
    <row r="10" spans="1:9" ht="17.25" thickBot="1">
      <c r="A10" s="1587"/>
      <c r="B10" s="1590" t="s">
        <v>228</v>
      </c>
      <c r="C10" s="1591"/>
      <c r="D10" s="1589" t="s">
        <v>102</v>
      </c>
      <c r="E10" s="1589"/>
      <c r="F10" s="1589" t="s">
        <v>228</v>
      </c>
      <c r="G10" s="1589"/>
      <c r="H10" s="1589" t="s">
        <v>102</v>
      </c>
      <c r="I10" s="1589"/>
    </row>
    <row r="11" spans="1:9" s="234" customFormat="1" ht="26.25" thickBot="1">
      <c r="A11" s="1587"/>
      <c r="B11" s="855" t="s">
        <v>229</v>
      </c>
      <c r="C11" s="856" t="s">
        <v>230</v>
      </c>
      <c r="D11" s="857" t="s">
        <v>229</v>
      </c>
      <c r="E11" s="858" t="s">
        <v>230</v>
      </c>
      <c r="F11" s="856" t="s">
        <v>229</v>
      </c>
      <c r="G11" s="856" t="s">
        <v>230</v>
      </c>
      <c r="H11" s="858" t="s">
        <v>229</v>
      </c>
      <c r="I11" s="858" t="s">
        <v>230</v>
      </c>
    </row>
    <row r="12" spans="1:9" ht="14.25" thickBot="1">
      <c r="A12" s="863" t="s">
        <v>598</v>
      </c>
      <c r="B12" s="864">
        <v>9</v>
      </c>
      <c r="C12" s="865">
        <v>6</v>
      </c>
      <c r="D12" s="851">
        <f>B12/25</f>
        <v>0.36</v>
      </c>
      <c r="E12" s="852">
        <f>C12/B12</f>
        <v>0.66666666666666663</v>
      </c>
      <c r="F12" s="850">
        <v>9</v>
      </c>
      <c r="G12" s="850">
        <v>7</v>
      </c>
      <c r="H12" s="851">
        <f>F12/25</f>
        <v>0.36</v>
      </c>
      <c r="I12" s="852">
        <f>G12/F12</f>
        <v>0.77777777777777779</v>
      </c>
    </row>
    <row r="13" spans="1:9" ht="14.25" thickBot="1">
      <c r="A13" s="863" t="s">
        <v>603</v>
      </c>
      <c r="B13" s="864">
        <v>10</v>
      </c>
      <c r="C13" s="865">
        <v>8</v>
      </c>
      <c r="D13" s="851">
        <f>B13/25</f>
        <v>0.4</v>
      </c>
      <c r="E13" s="852">
        <f>C13/B13</f>
        <v>0.8</v>
      </c>
      <c r="F13" s="850">
        <v>10</v>
      </c>
      <c r="G13" s="850">
        <v>8</v>
      </c>
      <c r="H13" s="851">
        <f>F13/25</f>
        <v>0.4</v>
      </c>
      <c r="I13" s="852">
        <f>G13/F13</f>
        <v>0.8</v>
      </c>
    </row>
    <row r="14" spans="1:9" ht="14.25" thickBot="1">
      <c r="A14" s="863" t="s">
        <v>599</v>
      </c>
      <c r="B14" s="864">
        <v>9</v>
      </c>
      <c r="C14" s="865">
        <v>8</v>
      </c>
      <c r="D14" s="851">
        <f>B14/25</f>
        <v>0.36</v>
      </c>
      <c r="E14" s="852">
        <f>C14/B14</f>
        <v>0.88888888888888884</v>
      </c>
      <c r="F14" s="850">
        <v>9</v>
      </c>
      <c r="G14" s="850">
        <v>8</v>
      </c>
      <c r="H14" s="851">
        <f>F14/25</f>
        <v>0.36</v>
      </c>
      <c r="I14" s="852">
        <f>G14/F14</f>
        <v>0.88888888888888884</v>
      </c>
    </row>
    <row r="15" spans="1:9" ht="14.25" thickBot="1">
      <c r="A15" s="863" t="s">
        <v>600</v>
      </c>
      <c r="B15" s="864">
        <v>13</v>
      </c>
      <c r="C15" s="865">
        <v>11</v>
      </c>
      <c r="D15" s="851">
        <f>B15/24</f>
        <v>0.54166666666666663</v>
      </c>
      <c r="E15" s="852">
        <f>C15/B15</f>
        <v>0.84615384615384615</v>
      </c>
      <c r="F15" s="850">
        <v>13</v>
      </c>
      <c r="G15" s="850">
        <v>10</v>
      </c>
      <c r="H15" s="851">
        <f>F15/24</f>
        <v>0.54166666666666663</v>
      </c>
      <c r="I15" s="852">
        <f>G15/F15</f>
        <v>0.76923076923076927</v>
      </c>
    </row>
    <row r="16" spans="1:9" s="2" customFormat="1" ht="14.25" thickBot="1">
      <c r="A16" s="967" t="s">
        <v>0</v>
      </c>
      <c r="B16" s="968">
        <f>SUM(B12:B15)</f>
        <v>41</v>
      </c>
      <c r="C16" s="968">
        <f>SUM(C12:C15)</f>
        <v>33</v>
      </c>
      <c r="D16" s="969">
        <f>B16/74</f>
        <v>0.55405405405405406</v>
      </c>
      <c r="E16" s="969">
        <f>C16/B16</f>
        <v>0.80487804878048785</v>
      </c>
      <c r="F16" s="968">
        <f>SUM(F12:F15)</f>
        <v>41</v>
      </c>
      <c r="G16" s="968">
        <f>SUM(G12:G15)</f>
        <v>33</v>
      </c>
      <c r="H16" s="969">
        <f>F16/74</f>
        <v>0.55405405405405406</v>
      </c>
      <c r="I16" s="969">
        <f>G16/F16</f>
        <v>0.80487804878048785</v>
      </c>
    </row>
    <row r="17" spans="1:22" ht="13.5" customHeight="1" thickBot="1">
      <c r="A17" s="1574" t="s">
        <v>273</v>
      </c>
      <c r="B17" s="1574"/>
      <c r="C17" s="1574"/>
      <c r="D17" s="1574"/>
      <c r="E17" s="1574"/>
      <c r="F17" s="1574"/>
      <c r="G17" s="1574"/>
      <c r="H17" s="1574"/>
      <c r="I17" s="1574"/>
    </row>
    <row r="18" spans="1:22" ht="21.75" thickBot="1">
      <c r="A18" s="1587" t="s">
        <v>128</v>
      </c>
      <c r="B18" s="1582" t="s">
        <v>559</v>
      </c>
      <c r="C18" s="1583"/>
      <c r="D18" s="1583"/>
      <c r="E18" s="1583"/>
      <c r="F18" s="1583" t="s">
        <v>227</v>
      </c>
      <c r="G18" s="1583"/>
      <c r="H18" s="1583"/>
      <c r="I18" s="1584"/>
      <c r="V18" s="193"/>
    </row>
    <row r="19" spans="1:22" ht="17.25" thickBot="1">
      <c r="A19" s="1587"/>
      <c r="B19" s="1590" t="s">
        <v>228</v>
      </c>
      <c r="C19" s="1591"/>
      <c r="D19" s="1589" t="s">
        <v>102</v>
      </c>
      <c r="E19" s="1589"/>
      <c r="F19" s="1589" t="s">
        <v>228</v>
      </c>
      <c r="G19" s="1589"/>
      <c r="H19" s="1589" t="s">
        <v>102</v>
      </c>
      <c r="I19" s="1592"/>
    </row>
    <row r="20" spans="1:22" s="234" customFormat="1" ht="26.25" thickBot="1">
      <c r="A20" s="1575"/>
      <c r="B20" s="859" t="s">
        <v>229</v>
      </c>
      <c r="C20" s="860" t="s">
        <v>230</v>
      </c>
      <c r="D20" s="861" t="s">
        <v>229</v>
      </c>
      <c r="E20" s="862" t="s">
        <v>230</v>
      </c>
      <c r="F20" s="860" t="s">
        <v>229</v>
      </c>
      <c r="G20" s="860" t="s">
        <v>230</v>
      </c>
      <c r="H20" s="862" t="s">
        <v>229</v>
      </c>
      <c r="I20" s="862" t="s">
        <v>230</v>
      </c>
    </row>
    <row r="21" spans="1:22" ht="14.25" thickBot="1">
      <c r="A21" s="848" t="s">
        <v>602</v>
      </c>
      <c r="B21" s="849">
        <v>9</v>
      </c>
      <c r="C21" s="850">
        <v>6</v>
      </c>
      <c r="D21" s="851">
        <f>B21/20</f>
        <v>0.45</v>
      </c>
      <c r="E21" s="852">
        <f t="shared" ref="E21:E29" si="0">C21/B21</f>
        <v>0.66666666666666663</v>
      </c>
      <c r="F21" s="850">
        <v>9</v>
      </c>
      <c r="G21" s="850">
        <v>4</v>
      </c>
      <c r="H21" s="851">
        <f>F21/20</f>
        <v>0.45</v>
      </c>
      <c r="I21" s="852">
        <f t="shared" ref="I21:I29" si="1">G21/F21</f>
        <v>0.44444444444444442</v>
      </c>
    </row>
    <row r="22" spans="1:22" ht="14.25" thickBot="1">
      <c r="A22" s="848" t="s">
        <v>598</v>
      </c>
      <c r="B22" s="849">
        <v>7</v>
      </c>
      <c r="C22" s="850">
        <v>0</v>
      </c>
      <c r="D22" s="851">
        <f>B22/25</f>
        <v>0.28000000000000003</v>
      </c>
      <c r="E22" s="852">
        <f t="shared" si="0"/>
        <v>0</v>
      </c>
      <c r="F22" s="850">
        <v>7</v>
      </c>
      <c r="G22" s="850">
        <v>0</v>
      </c>
      <c r="H22" s="851">
        <f>F22/25</f>
        <v>0.28000000000000003</v>
      </c>
      <c r="I22" s="852">
        <f t="shared" si="1"/>
        <v>0</v>
      </c>
    </row>
    <row r="23" spans="1:22" ht="14.25" thickBot="1">
      <c r="A23" s="848" t="s">
        <v>603</v>
      </c>
      <c r="B23" s="849">
        <v>9</v>
      </c>
      <c r="C23" s="850">
        <v>8</v>
      </c>
      <c r="D23" s="851">
        <f>B23/24</f>
        <v>0.375</v>
      </c>
      <c r="E23" s="852">
        <f t="shared" si="0"/>
        <v>0.88888888888888884</v>
      </c>
      <c r="F23" s="850">
        <v>8</v>
      </c>
      <c r="G23" s="850">
        <v>8</v>
      </c>
      <c r="H23" s="851">
        <f>F23/24</f>
        <v>0.33333333333333331</v>
      </c>
      <c r="I23" s="852">
        <f t="shared" si="1"/>
        <v>1</v>
      </c>
    </row>
    <row r="24" spans="1:22" ht="14.25" thickBot="1">
      <c r="A24" s="848" t="s">
        <v>599</v>
      </c>
      <c r="B24" s="849">
        <v>8</v>
      </c>
      <c r="C24" s="850">
        <v>5</v>
      </c>
      <c r="D24" s="851">
        <f>B24/25</f>
        <v>0.32</v>
      </c>
      <c r="E24" s="852">
        <f t="shared" si="0"/>
        <v>0.625</v>
      </c>
      <c r="F24" s="850">
        <v>11</v>
      </c>
      <c r="G24" s="850">
        <v>7</v>
      </c>
      <c r="H24" s="851">
        <f>F24/25</f>
        <v>0.44</v>
      </c>
      <c r="I24" s="852">
        <f t="shared" si="1"/>
        <v>0.63636363636363635</v>
      </c>
    </row>
    <row r="25" spans="1:22" ht="14.25" thickBot="1">
      <c r="A25" s="848" t="s">
        <v>600</v>
      </c>
      <c r="B25" s="849">
        <v>10</v>
      </c>
      <c r="C25" s="850">
        <v>9</v>
      </c>
      <c r="D25" s="851">
        <f>B25/9</f>
        <v>1.1111111111111112</v>
      </c>
      <c r="E25" s="852">
        <f t="shared" si="0"/>
        <v>0.9</v>
      </c>
      <c r="F25" s="850">
        <v>10</v>
      </c>
      <c r="G25" s="850">
        <v>10</v>
      </c>
      <c r="H25" s="851">
        <f>F25/9</f>
        <v>1.1111111111111112</v>
      </c>
      <c r="I25" s="852">
        <f t="shared" si="1"/>
        <v>1</v>
      </c>
    </row>
    <row r="26" spans="1:22" ht="14.25" thickBot="1">
      <c r="A26" s="848" t="s">
        <v>604</v>
      </c>
      <c r="B26" s="849">
        <v>11</v>
      </c>
      <c r="C26" s="850">
        <v>11</v>
      </c>
      <c r="D26" s="851">
        <f>B26/22</f>
        <v>0.5</v>
      </c>
      <c r="E26" s="852">
        <f t="shared" si="0"/>
        <v>1</v>
      </c>
      <c r="F26" s="850">
        <v>11</v>
      </c>
      <c r="G26" s="850">
        <v>11</v>
      </c>
      <c r="H26" s="851">
        <f>F26/22</f>
        <v>0.5</v>
      </c>
      <c r="I26" s="852">
        <f t="shared" si="1"/>
        <v>1</v>
      </c>
    </row>
    <row r="27" spans="1:22" ht="14.25" thickBot="1">
      <c r="A27" s="848" t="s">
        <v>101</v>
      </c>
      <c r="B27" s="849">
        <v>7</v>
      </c>
      <c r="C27" s="850">
        <v>7</v>
      </c>
      <c r="D27" s="851">
        <f t="shared" ref="D27:D28" si="2">B27/22</f>
        <v>0.31818181818181818</v>
      </c>
      <c r="E27" s="852">
        <f t="shared" ref="E27:E28" si="3">C27/B27</f>
        <v>1</v>
      </c>
      <c r="F27" s="850">
        <v>7</v>
      </c>
      <c r="G27" s="850">
        <v>7</v>
      </c>
      <c r="H27" s="851">
        <f t="shared" ref="H27:H28" si="4">F27/22</f>
        <v>0.31818181818181818</v>
      </c>
      <c r="I27" s="852">
        <f t="shared" ref="I27:I28" si="5">G27/F27</f>
        <v>1</v>
      </c>
    </row>
    <row r="28" spans="1:22" ht="14.25" thickBot="1">
      <c r="A28" s="848" t="s">
        <v>629</v>
      </c>
      <c r="B28" s="849">
        <v>10</v>
      </c>
      <c r="C28" s="850">
        <v>10</v>
      </c>
      <c r="D28" s="851">
        <f t="shared" si="2"/>
        <v>0.45454545454545453</v>
      </c>
      <c r="E28" s="852">
        <f t="shared" si="3"/>
        <v>1</v>
      </c>
      <c r="F28" s="850">
        <v>10</v>
      </c>
      <c r="G28" s="850">
        <v>10</v>
      </c>
      <c r="H28" s="851">
        <f t="shared" si="4"/>
        <v>0.45454545454545453</v>
      </c>
      <c r="I28" s="852">
        <f t="shared" si="5"/>
        <v>1</v>
      </c>
    </row>
    <row r="29" spans="1:22" ht="14.25" thickBot="1">
      <c r="A29" s="848" t="s">
        <v>601</v>
      </c>
      <c r="B29" s="849">
        <v>9</v>
      </c>
      <c r="C29" s="850">
        <v>9</v>
      </c>
      <c r="D29" s="851">
        <f>B29/26</f>
        <v>0.34615384615384615</v>
      </c>
      <c r="E29" s="852">
        <f t="shared" si="0"/>
        <v>1</v>
      </c>
      <c r="F29" s="850">
        <v>9</v>
      </c>
      <c r="G29" s="850">
        <v>9</v>
      </c>
      <c r="H29" s="851">
        <f>F29/26</f>
        <v>0.34615384615384615</v>
      </c>
      <c r="I29" s="852">
        <f t="shared" si="1"/>
        <v>1</v>
      </c>
    </row>
    <row r="30" spans="1:22" ht="20.25" customHeight="1" thickBot="1">
      <c r="A30" s="967" t="s">
        <v>0</v>
      </c>
      <c r="B30" s="967">
        <f>SUM(B21:B29)</f>
        <v>80</v>
      </c>
      <c r="C30" s="967">
        <f>SUM(C21:C29)</f>
        <v>65</v>
      </c>
      <c r="D30" s="1106">
        <f>B30/151</f>
        <v>0.5298013245033113</v>
      </c>
      <c r="E30" s="1106">
        <f>C30/B30</f>
        <v>0.8125</v>
      </c>
      <c r="F30" s="967">
        <f>SUM(F21:F29)</f>
        <v>82</v>
      </c>
      <c r="G30" s="967">
        <f>SUM(G21:G29)</f>
        <v>66</v>
      </c>
      <c r="H30" s="1106">
        <f>F30/151</f>
        <v>0.54304635761589404</v>
      </c>
      <c r="I30" s="1106">
        <f>G30/F30</f>
        <v>0.80487804878048785</v>
      </c>
    </row>
    <row r="31" spans="1:22" ht="15" customHeight="1" thickBot="1">
      <c r="A31" s="1574" t="s">
        <v>274</v>
      </c>
      <c r="B31" s="1574"/>
      <c r="C31" s="1574"/>
      <c r="D31" s="1574"/>
      <c r="E31" s="1574"/>
      <c r="F31" s="1574"/>
      <c r="G31" s="1574"/>
      <c r="H31" s="1574"/>
      <c r="I31" s="1574"/>
    </row>
    <row r="32" spans="1:22" ht="21.75" thickBot="1">
      <c r="A32" s="1575" t="s">
        <v>128</v>
      </c>
      <c r="B32" s="1582" t="s">
        <v>559</v>
      </c>
      <c r="C32" s="1583"/>
      <c r="D32" s="1583"/>
      <c r="E32" s="1583"/>
      <c r="F32" s="1584" t="s">
        <v>227</v>
      </c>
      <c r="G32" s="1585"/>
      <c r="H32" s="1585"/>
      <c r="I32" s="1582"/>
      <c r="J32" s="164"/>
    </row>
    <row r="33" spans="1:12" ht="17.25" thickBot="1">
      <c r="A33" s="1576"/>
      <c r="B33" s="1578" t="s">
        <v>228</v>
      </c>
      <c r="C33" s="1579"/>
      <c r="D33" s="1580" t="s">
        <v>102</v>
      </c>
      <c r="E33" s="1581"/>
      <c r="F33" s="1578" t="s">
        <v>228</v>
      </c>
      <c r="G33" s="1579"/>
      <c r="H33" s="1580" t="s">
        <v>102</v>
      </c>
      <c r="I33" s="1581"/>
      <c r="J33" s="164"/>
    </row>
    <row r="34" spans="1:12" s="234" customFormat="1" ht="26.25" thickBot="1">
      <c r="A34" s="1577"/>
      <c r="B34" s="987" t="s">
        <v>229</v>
      </c>
      <c r="C34" s="988" t="s">
        <v>230</v>
      </c>
      <c r="D34" s="989" t="s">
        <v>229</v>
      </c>
      <c r="E34" s="990" t="s">
        <v>230</v>
      </c>
      <c r="F34" s="1026" t="s">
        <v>229</v>
      </c>
      <c r="G34" s="1026" t="s">
        <v>230</v>
      </c>
      <c r="H34" s="1027" t="s">
        <v>229</v>
      </c>
      <c r="I34" s="1027" t="s">
        <v>230</v>
      </c>
      <c r="J34" s="235"/>
      <c r="L34" s="986"/>
    </row>
    <row r="35" spans="1:12" ht="15.75" thickBot="1">
      <c r="A35" s="848" t="s">
        <v>231</v>
      </c>
      <c r="B35" s="978">
        <v>2</v>
      </c>
      <c r="C35" s="979">
        <v>0</v>
      </c>
      <c r="D35" s="980">
        <f>B35/'VI-5º ANO'!B13</f>
        <v>0.14285714285714285</v>
      </c>
      <c r="E35" s="991">
        <f t="shared" ref="E35" si="6">C35/B35</f>
        <v>0</v>
      </c>
      <c r="F35" s="850">
        <v>4</v>
      </c>
      <c r="G35" s="850">
        <v>0</v>
      </c>
      <c r="H35" s="980">
        <f>F35/'VI-5º ANO'!B13</f>
        <v>0.2857142857142857</v>
      </c>
      <c r="I35" s="1008">
        <f t="shared" ref="I35:I36" si="7">G35/F35</f>
        <v>0</v>
      </c>
      <c r="J35" s="164"/>
    </row>
    <row r="36" spans="1:12" ht="15.75" thickBot="1">
      <c r="A36" s="854" t="s">
        <v>560</v>
      </c>
      <c r="B36" s="1067"/>
      <c r="C36" s="1068"/>
      <c r="D36" s="1069"/>
      <c r="E36" s="1069"/>
      <c r="F36" s="850">
        <v>6</v>
      </c>
      <c r="G36" s="850">
        <v>1</v>
      </c>
      <c r="H36" s="976">
        <f>F36/'VI-5º ANO'!B15</f>
        <v>0.35294117647058826</v>
      </c>
      <c r="I36" s="977">
        <f t="shared" si="7"/>
        <v>0.16666666666666666</v>
      </c>
      <c r="J36" s="164"/>
    </row>
    <row r="37" spans="1:12" ht="22.5" customHeight="1" thickBot="1">
      <c r="A37" s="967" t="s">
        <v>609</v>
      </c>
      <c r="B37" s="1100">
        <f>SUM(B35:B35)</f>
        <v>2</v>
      </c>
      <c r="C37" s="1100">
        <f>SUM(C35:C35)</f>
        <v>0</v>
      </c>
      <c r="D37" s="1102">
        <f>B37/'VI-5º ANO'!B17</f>
        <v>1.5873015873015872E-2</v>
      </c>
      <c r="E37" s="1103">
        <f>C37/B37</f>
        <v>0</v>
      </c>
      <c r="F37" s="1104">
        <f>SUM(F35:F36)</f>
        <v>10</v>
      </c>
      <c r="G37" s="1104">
        <f>SUM(G35:G36)</f>
        <v>1</v>
      </c>
      <c r="H37" s="1105">
        <f>F37/'VI-5º ANO'!B17</f>
        <v>7.9365079365079361E-2</v>
      </c>
      <c r="I37" s="1099">
        <f t="shared" ref="I37:I39" si="8">G37/F37</f>
        <v>0.1</v>
      </c>
      <c r="J37" s="164"/>
    </row>
    <row r="38" spans="1:12" ht="15.75" thickBot="1">
      <c r="A38" s="972" t="s">
        <v>562</v>
      </c>
      <c r="B38" s="973">
        <v>8</v>
      </c>
      <c r="C38" s="970">
        <v>3</v>
      </c>
      <c r="D38" s="998">
        <f>B38/'VII-6º ANO'!B10</f>
        <v>0.30769230769230771</v>
      </c>
      <c r="E38" s="999">
        <f>C38/B38</f>
        <v>0.375</v>
      </c>
      <c r="F38" s="1086">
        <v>6</v>
      </c>
      <c r="G38" s="1086">
        <v>6</v>
      </c>
      <c r="H38" s="992">
        <f>F38/'VII-6º ANO'!B10</f>
        <v>0.23076923076923078</v>
      </c>
      <c r="I38" s="971">
        <f>G38/F38</f>
        <v>1</v>
      </c>
      <c r="J38" s="164"/>
    </row>
    <row r="39" spans="1:12" ht="15.75" thickBot="1">
      <c r="A39" s="972" t="s">
        <v>356</v>
      </c>
      <c r="B39" s="1070"/>
      <c r="C39" s="1071"/>
      <c r="D39" s="1072"/>
      <c r="E39" s="1072"/>
      <c r="F39" s="1087">
        <v>8</v>
      </c>
      <c r="G39" s="1088">
        <v>4</v>
      </c>
      <c r="H39" s="992">
        <f>F39/'VII-6º ANO'!B12</f>
        <v>0.38095238095238093</v>
      </c>
      <c r="I39" s="993">
        <f t="shared" si="8"/>
        <v>0.5</v>
      </c>
      <c r="J39" s="164"/>
    </row>
    <row r="40" spans="1:12" ht="15.75" thickBot="1">
      <c r="A40" s="848" t="s">
        <v>561</v>
      </c>
      <c r="B40" s="974">
        <v>10</v>
      </c>
      <c r="C40" s="975">
        <v>7</v>
      </c>
      <c r="D40" s="996">
        <f>B40/'VII-6º ANO'!B15</f>
        <v>0.55555555555555558</v>
      </c>
      <c r="E40" s="997">
        <f>C40/B40</f>
        <v>0.7</v>
      </c>
      <c r="F40" s="1086">
        <v>8</v>
      </c>
      <c r="G40" s="1086">
        <v>2</v>
      </c>
      <c r="H40" s="994">
        <f>F40/'VII-6º ANO'!B15</f>
        <v>0.44444444444444442</v>
      </c>
      <c r="I40" s="995">
        <f>G40/F40</f>
        <v>0.25</v>
      </c>
      <c r="J40" s="164"/>
    </row>
    <row r="41" spans="1:12" ht="20.25" customHeight="1" thickBot="1">
      <c r="A41" s="967" t="s">
        <v>610</v>
      </c>
      <c r="B41" s="1098">
        <f>B38+B40</f>
        <v>18</v>
      </c>
      <c r="C41" s="1098">
        <f>C38+C40</f>
        <v>10</v>
      </c>
      <c r="D41" s="1099">
        <f>B41/'VII-6º ANO'!B16</f>
        <v>0.13846153846153847</v>
      </c>
      <c r="E41" s="1099">
        <f>C41/B41</f>
        <v>0.55555555555555558</v>
      </c>
      <c r="F41" s="1100">
        <f>SUM(F37,F40)</f>
        <v>18</v>
      </c>
      <c r="G41" s="1100">
        <f>SUM(G37,G40)</f>
        <v>3</v>
      </c>
      <c r="H41" s="1099">
        <f>F41/'VII-6º ANO'!B16</f>
        <v>0.13846153846153847</v>
      </c>
      <c r="I41" s="1101">
        <f>G41/F41</f>
        <v>0.16666666666666666</v>
      </c>
      <c r="J41" s="164"/>
    </row>
    <row r="42" spans="1:12" ht="14.25" thickBot="1">
      <c r="A42" s="848" t="s">
        <v>232</v>
      </c>
      <c r="B42" s="981">
        <v>8</v>
      </c>
      <c r="C42" s="982">
        <v>3</v>
      </c>
      <c r="D42" s="980">
        <f>B42/'VIII-7º ANO'!B12</f>
        <v>0.47058823529411764</v>
      </c>
      <c r="E42" s="1008">
        <f>C42/B42</f>
        <v>0.375</v>
      </c>
      <c r="F42" s="865">
        <v>7</v>
      </c>
      <c r="G42" s="865">
        <v>4</v>
      </c>
      <c r="H42" s="976">
        <f>F42/'VIII-7º ANO'!B12</f>
        <v>0.41176470588235292</v>
      </c>
      <c r="I42" s="977">
        <f t="shared" ref="I42:I44" si="9">G42/F42</f>
        <v>0.5714285714285714</v>
      </c>
    </row>
    <row r="43" spans="1:12" ht="15" thickTop="1" thickBot="1">
      <c r="A43" s="854" t="s">
        <v>591</v>
      </c>
      <c r="B43" s="1084"/>
      <c r="C43" s="1084"/>
      <c r="D43" s="1085"/>
      <c r="E43" s="1085"/>
      <c r="F43" s="849">
        <v>7</v>
      </c>
      <c r="G43" s="850">
        <v>3</v>
      </c>
      <c r="H43" s="867">
        <f>F43/'VIII-7º ANO'!B13</f>
        <v>0.29166666666666669</v>
      </c>
      <c r="I43" s="866">
        <f t="shared" si="9"/>
        <v>0.42857142857142855</v>
      </c>
    </row>
    <row r="44" spans="1:12" ht="14.25" thickBot="1">
      <c r="A44" s="848" t="s">
        <v>233</v>
      </c>
      <c r="B44" s="864">
        <v>7</v>
      </c>
      <c r="C44" s="865">
        <v>5</v>
      </c>
      <c r="D44" s="976">
        <f>B44/'VIII-7º ANO'!B16</f>
        <v>0.29166666666666669</v>
      </c>
      <c r="E44" s="977">
        <f>C44/B44</f>
        <v>0.7142857142857143</v>
      </c>
      <c r="F44" s="850">
        <v>6</v>
      </c>
      <c r="G44" s="850">
        <v>0</v>
      </c>
      <c r="H44" s="867">
        <f>F44/'VIII-7º ANO'!B16</f>
        <v>0.25</v>
      </c>
      <c r="I44" s="866">
        <f t="shared" si="9"/>
        <v>0</v>
      </c>
    </row>
    <row r="45" spans="1:12" ht="21.75" customHeight="1" thickBot="1">
      <c r="A45" s="967" t="s">
        <v>611</v>
      </c>
      <c r="B45" s="1089">
        <f>SUM(B42:B44)</f>
        <v>15</v>
      </c>
      <c r="C45" s="1090">
        <f>SUM(C42:C44)</f>
        <v>8</v>
      </c>
      <c r="D45" s="1091">
        <f>B45/'VIII-7º ANO'!B17</f>
        <v>0.11904761904761904</v>
      </c>
      <c r="E45" s="1092">
        <f>C45/B45</f>
        <v>0.53333333333333333</v>
      </c>
      <c r="F45" s="1090">
        <f>SUM(F42:F44)</f>
        <v>20</v>
      </c>
      <c r="G45" s="1090">
        <f>SUM(G42:G44)</f>
        <v>7</v>
      </c>
      <c r="H45" s="1093">
        <f>F45/'VIII-7º ANO'!B17</f>
        <v>0.15873015873015872</v>
      </c>
      <c r="I45" s="1094">
        <f>G45/F45</f>
        <v>0.35</v>
      </c>
    </row>
    <row r="46" spans="1:12" ht="15" thickTop="1" thickBot="1">
      <c r="A46" s="854" t="s">
        <v>592</v>
      </c>
      <c r="B46" s="1075"/>
      <c r="C46" s="1075"/>
      <c r="D46" s="1076"/>
      <c r="E46" s="1077"/>
      <c r="F46" s="1020">
        <v>6</v>
      </c>
      <c r="G46" s="1021">
        <v>4</v>
      </c>
      <c r="H46" s="984">
        <f>F46/'IX-8º ANO'!B10</f>
        <v>0.33333333333333331</v>
      </c>
      <c r="I46" s="985">
        <f>G46/F46</f>
        <v>0.66666666666666663</v>
      </c>
    </row>
    <row r="47" spans="1:12" ht="14.25" thickBot="1">
      <c r="A47" s="854" t="s">
        <v>593</v>
      </c>
      <c r="B47" s="1078"/>
      <c r="C47" s="1078"/>
      <c r="D47" s="1079"/>
      <c r="E47" s="1080"/>
      <c r="F47" s="1022">
        <v>11</v>
      </c>
      <c r="G47" s="1023">
        <v>4</v>
      </c>
      <c r="H47" s="984">
        <f>F47/'IX-8º ANO'!B12</f>
        <v>0.39285714285714285</v>
      </c>
      <c r="I47" s="985">
        <f t="shared" ref="I47:I49" si="10">G47/F47</f>
        <v>0.36363636363636365</v>
      </c>
    </row>
    <row r="48" spans="1:12" ht="14.25" thickBot="1">
      <c r="A48" s="854" t="s">
        <v>594</v>
      </c>
      <c r="B48" s="1078"/>
      <c r="C48" s="1078"/>
      <c r="D48" s="1079"/>
      <c r="E48" s="1080"/>
      <c r="F48" s="1022">
        <v>8</v>
      </c>
      <c r="G48" s="1023">
        <v>1</v>
      </c>
      <c r="H48" s="984">
        <f>F48/'IX-8º ANO'!B13</f>
        <v>0.34782608695652173</v>
      </c>
      <c r="I48" s="985">
        <f t="shared" si="10"/>
        <v>0.125</v>
      </c>
    </row>
    <row r="49" spans="1:9" ht="14.25" thickBot="1">
      <c r="A49" s="854" t="s">
        <v>563</v>
      </c>
      <c r="B49" s="1081"/>
      <c r="C49" s="1081"/>
      <c r="D49" s="1082"/>
      <c r="E49" s="1083"/>
      <c r="F49" s="1024">
        <v>10</v>
      </c>
      <c r="G49" s="1025">
        <v>0</v>
      </c>
      <c r="H49" s="984">
        <f>F49/'IX-8º ANO'!B14</f>
        <v>0.41666666666666669</v>
      </c>
      <c r="I49" s="985">
        <f t="shared" si="10"/>
        <v>0</v>
      </c>
    </row>
    <row r="50" spans="1:9" ht="18.75" customHeight="1" thickBot="1">
      <c r="A50" s="967" t="s">
        <v>612</v>
      </c>
      <c r="B50" s="1089">
        <f>SUM(B47:B49)</f>
        <v>0</v>
      </c>
      <c r="C50" s="1090">
        <f>SUM(C47:C49)</f>
        <v>0</v>
      </c>
      <c r="D50" s="1091">
        <f>B50/41</f>
        <v>0</v>
      </c>
      <c r="E50" s="1092">
        <v>0</v>
      </c>
      <c r="F50" s="1090">
        <f>SUM(F46:F49)</f>
        <v>35</v>
      </c>
      <c r="G50" s="1090">
        <f>SUM(G46:G49)</f>
        <v>9</v>
      </c>
      <c r="H50" s="1093">
        <f>F50/'IX-8º ANO'!B15</f>
        <v>0.31818181818181818</v>
      </c>
      <c r="I50" s="1094">
        <f>G50/F50</f>
        <v>0.25714285714285712</v>
      </c>
    </row>
    <row r="51" spans="1:9" ht="14.25" thickBot="1">
      <c r="A51" s="848" t="s">
        <v>564</v>
      </c>
      <c r="B51" s="981">
        <v>8</v>
      </c>
      <c r="C51" s="982">
        <v>5</v>
      </c>
      <c r="D51" s="976">
        <f>B51/23</f>
        <v>0.34782608695652173</v>
      </c>
      <c r="E51" s="983">
        <f>C51/B51</f>
        <v>0.625</v>
      </c>
      <c r="F51" s="1073"/>
      <c r="G51" s="1073"/>
      <c r="H51" s="1073"/>
      <c r="I51" s="1074"/>
    </row>
    <row r="52" spans="1:9" ht="14.25" thickBot="1">
      <c r="A52" s="967" t="s">
        <v>613</v>
      </c>
      <c r="B52" s="1089">
        <f>SUM(B51)</f>
        <v>8</v>
      </c>
      <c r="C52" s="1089">
        <f>SUM(C51)</f>
        <v>5</v>
      </c>
      <c r="D52" s="1091">
        <f>B52/'X-9º ANO'!B13</f>
        <v>9.3023255813953487E-2</v>
      </c>
      <c r="E52" s="1092">
        <f>C52/B52</f>
        <v>0.625</v>
      </c>
      <c r="F52" s="1090">
        <f>SUM(F51)</f>
        <v>0</v>
      </c>
      <c r="G52" s="1090">
        <f>SUM(G51)</f>
        <v>0</v>
      </c>
      <c r="H52" s="1093">
        <f>F52/'X-9º ANO'!B13</f>
        <v>0</v>
      </c>
      <c r="I52" s="1094">
        <v>0</v>
      </c>
    </row>
    <row r="53" spans="1:9" ht="42.75" customHeight="1" thickBot="1">
      <c r="A53" s="1118" t="s">
        <v>419</v>
      </c>
      <c r="B53" s="1095">
        <f>B37+B41+B45+B50+B52</f>
        <v>43</v>
      </c>
      <c r="C53" s="1095">
        <f>C37+C41+C45+C50+C52</f>
        <v>23</v>
      </c>
      <c r="D53" s="1096">
        <f>B53/('VI-5º ANO'!B17+'VII-6º ANO'!B16+'VIII-7º ANO'!B17+'IX-8º ANO'!B15+'X-9º ANO'!B13)</f>
        <v>7.4394463667820071E-2</v>
      </c>
      <c r="E53" s="1096">
        <f>C53/B53</f>
        <v>0.53488372093023251</v>
      </c>
      <c r="F53" s="1095">
        <f>F37+F41+F45+F50+F52</f>
        <v>83</v>
      </c>
      <c r="G53" s="1095">
        <f>G37+G41+G45+G50+G52</f>
        <v>20</v>
      </c>
      <c r="H53" s="1097">
        <f>F53/('VI-5º ANO'!B17+'VII-6º ANO'!B16+'VIII-7º ANO'!B17+'IX-8º ANO'!B15+'X-9º ANO'!B13)</f>
        <v>0.14359861591695502</v>
      </c>
      <c r="I53" s="1097">
        <f>G53/F53</f>
        <v>0.24096385542168675</v>
      </c>
    </row>
    <row r="54" spans="1:9" s="2" customFormat="1" ht="13.5">
      <c r="A54" s="853"/>
      <c r="B54" s="853"/>
      <c r="C54" s="853"/>
      <c r="D54" s="853"/>
      <c r="E54" s="853"/>
      <c r="F54" s="853"/>
      <c r="G54" s="853"/>
      <c r="H54" s="853"/>
    </row>
  </sheetData>
  <mergeCells count="25">
    <mergeCell ref="A17:I17"/>
    <mergeCell ref="A18:A20"/>
    <mergeCell ref="B18:E18"/>
    <mergeCell ref="B10:C10"/>
    <mergeCell ref="D10:E10"/>
    <mergeCell ref="F18:I18"/>
    <mergeCell ref="B19:C19"/>
    <mergeCell ref="D19:E19"/>
    <mergeCell ref="F19:G19"/>
    <mergeCell ref="H19:I19"/>
    <mergeCell ref="A7:I7"/>
    <mergeCell ref="A9:A11"/>
    <mergeCell ref="B9:E9"/>
    <mergeCell ref="F9:I9"/>
    <mergeCell ref="A8:I8"/>
    <mergeCell ref="F10:G10"/>
    <mergeCell ref="H10:I10"/>
    <mergeCell ref="A31:I31"/>
    <mergeCell ref="A32:A34"/>
    <mergeCell ref="B33:C33"/>
    <mergeCell ref="D33:E33"/>
    <mergeCell ref="F33:G33"/>
    <mergeCell ref="H33:I33"/>
    <mergeCell ref="B32:E32"/>
    <mergeCell ref="F32:I32"/>
  </mergeCells>
  <phoneticPr fontId="0" type="noConversion"/>
  <printOptions horizontalCentered="1" verticalCentered="1"/>
  <pageMargins left="0.19685039370078741" right="0.23622047244094491" top="0" bottom="0" header="0.31496062992125984" footer="0.11811023622047245"/>
  <pageSetup paperSize="9" orientation="portrait" useFirstPageNumber="1" r:id="rId1"/>
  <headerFooter>
    <oddHeader>&amp;L&amp;"Trebuchet MS,Negrito"&amp;12&amp;K01+013AGRUPAMENTO DE ESCOLAS MIGUEL TORGA&amp;C
&amp;R&amp;"Trebuchet MS,Negrito itálico"&amp;12AUTOAVALIAÇÃO
3ºPeríodo  2012/13
Tabela XVI</oddHeader>
    <oddFooter xml:space="preserve">&amp;C
&amp;R17
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17"/>
  <sheetViews>
    <sheetView topLeftCell="D1" workbookViewId="0">
      <selection activeCell="I5" sqref="I5"/>
    </sheetView>
  </sheetViews>
  <sheetFormatPr defaultRowHeight="12.75"/>
  <cols>
    <col min="1" max="1" width="7.28515625" style="234" customWidth="1"/>
    <col min="2" max="2" width="7.5703125" customWidth="1"/>
    <col min="3" max="3" width="7" customWidth="1"/>
    <col min="4" max="4" width="7.7109375" customWidth="1"/>
    <col min="5" max="5" width="7" customWidth="1"/>
    <col min="6" max="6" width="7.5703125" customWidth="1"/>
    <col min="7" max="7" width="7.140625" customWidth="1"/>
    <col min="8" max="8" width="7.42578125" customWidth="1"/>
    <col min="9" max="9" width="7.140625" customWidth="1"/>
    <col min="10" max="10" width="7.5703125" customWidth="1"/>
    <col min="11" max="11" width="7.28515625" customWidth="1"/>
    <col min="12" max="12" width="7.5703125" customWidth="1"/>
    <col min="13" max="13" width="6.85546875" customWidth="1"/>
    <col min="14" max="14" width="7.7109375" style="1" customWidth="1"/>
    <col min="15" max="15" width="7.140625" style="1" customWidth="1"/>
    <col min="16" max="16" width="7.42578125" style="1" customWidth="1"/>
    <col min="17" max="17" width="7.140625" style="1" customWidth="1"/>
    <col min="18" max="18" width="7.7109375" style="1" customWidth="1"/>
    <col min="19" max="19" width="7.42578125" style="1" customWidth="1"/>
    <col min="20" max="20" width="8.140625" style="1" customWidth="1"/>
    <col min="21" max="21" width="7.140625" style="1" customWidth="1"/>
    <col min="22" max="22" width="7.85546875" customWidth="1"/>
    <col min="23" max="23" width="7.5703125" customWidth="1"/>
    <col min="24" max="24" width="7.140625" customWidth="1"/>
    <col min="25" max="25" width="7" customWidth="1"/>
  </cols>
  <sheetData>
    <row r="1" spans="1:26" ht="18.75">
      <c r="A1" s="1607" t="s">
        <v>234</v>
      </c>
      <c r="B1" s="1607"/>
      <c r="C1" s="1607"/>
      <c r="D1" s="1607"/>
      <c r="E1" s="1607"/>
      <c r="F1" s="1607"/>
      <c r="G1" s="1607"/>
      <c r="H1" s="1607"/>
      <c r="I1" s="1607"/>
      <c r="J1" s="1607"/>
      <c r="K1" s="1607"/>
      <c r="L1" s="1607"/>
      <c r="M1" s="1607"/>
    </row>
    <row r="2" spans="1:26">
      <c r="A2" s="1608" t="s">
        <v>459</v>
      </c>
      <c r="B2" s="1609"/>
      <c r="C2" s="1609"/>
      <c r="D2" s="1609"/>
      <c r="E2" s="1609"/>
      <c r="F2" s="1609"/>
      <c r="G2" s="1609"/>
      <c r="H2" s="1609"/>
      <c r="I2" s="1609"/>
      <c r="J2" s="1609"/>
      <c r="K2" s="1609"/>
      <c r="L2" s="1609"/>
      <c r="M2" s="1609"/>
    </row>
    <row r="3" spans="1:26" ht="13.5" thickBot="1">
      <c r="A3" s="1608"/>
      <c r="B3" s="1609"/>
      <c r="C3" s="1609"/>
      <c r="D3" s="1609"/>
      <c r="E3" s="1609"/>
      <c r="F3" s="1609"/>
      <c r="G3" s="1609"/>
      <c r="H3" s="1609"/>
      <c r="I3" s="1609"/>
      <c r="J3" s="1609"/>
      <c r="K3" s="1609"/>
      <c r="L3" s="1609"/>
      <c r="M3" s="1609"/>
    </row>
    <row r="4" spans="1:26" s="2" customFormat="1" ht="15.75" customHeight="1" thickBot="1">
      <c r="A4" s="1610" t="s">
        <v>235</v>
      </c>
      <c r="B4" s="1606" t="s">
        <v>236</v>
      </c>
      <c r="C4" s="1606"/>
      <c r="D4" s="1611" t="s">
        <v>237</v>
      </c>
      <c r="E4" s="1612"/>
      <c r="F4" s="1606" t="s">
        <v>238</v>
      </c>
      <c r="G4" s="1606"/>
      <c r="H4" s="1606" t="s">
        <v>239</v>
      </c>
      <c r="I4" s="1606"/>
      <c r="J4" s="1606" t="s">
        <v>240</v>
      </c>
      <c r="K4" s="1606"/>
      <c r="L4" s="1606" t="s">
        <v>241</v>
      </c>
      <c r="M4" s="1606"/>
      <c r="N4" s="1606" t="s">
        <v>276</v>
      </c>
      <c r="O4" s="1606"/>
      <c r="P4" s="1606" t="s">
        <v>277</v>
      </c>
      <c r="Q4" s="1606"/>
      <c r="R4" s="1606" t="s">
        <v>278</v>
      </c>
      <c r="S4" s="1606"/>
      <c r="T4" s="1606" t="s">
        <v>380</v>
      </c>
      <c r="U4" s="1606"/>
      <c r="V4" s="1606" t="s">
        <v>280</v>
      </c>
      <c r="W4" s="1606"/>
      <c r="X4" s="1606" t="s">
        <v>279</v>
      </c>
      <c r="Y4" s="1606"/>
    </row>
    <row r="5" spans="1:26" s="234" customFormat="1" ht="105.75" thickBot="1">
      <c r="A5" s="1610"/>
      <c r="B5" s="784" t="s">
        <v>281</v>
      </c>
      <c r="C5" s="785" t="s">
        <v>242</v>
      </c>
      <c r="D5" s="786" t="s">
        <v>281</v>
      </c>
      <c r="E5" s="785" t="s">
        <v>242</v>
      </c>
      <c r="F5" s="787" t="s">
        <v>281</v>
      </c>
      <c r="G5" s="785" t="s">
        <v>242</v>
      </c>
      <c r="H5" s="787" t="s">
        <v>281</v>
      </c>
      <c r="I5" s="785" t="s">
        <v>242</v>
      </c>
      <c r="J5" s="787" t="s">
        <v>281</v>
      </c>
      <c r="K5" s="785" t="s">
        <v>242</v>
      </c>
      <c r="L5" s="787" t="s">
        <v>281</v>
      </c>
      <c r="M5" s="785" t="s">
        <v>242</v>
      </c>
      <c r="N5" s="787" t="s">
        <v>281</v>
      </c>
      <c r="O5" s="785" t="s">
        <v>242</v>
      </c>
      <c r="P5" s="787" t="s">
        <v>540</v>
      </c>
      <c r="Q5" s="785" t="s">
        <v>242</v>
      </c>
      <c r="R5" s="787" t="s">
        <v>540</v>
      </c>
      <c r="S5" s="785" t="s">
        <v>242</v>
      </c>
      <c r="T5" s="787" t="s">
        <v>540</v>
      </c>
      <c r="U5" s="785" t="s">
        <v>242</v>
      </c>
      <c r="V5" s="787" t="s">
        <v>540</v>
      </c>
      <c r="W5" s="785" t="s">
        <v>242</v>
      </c>
      <c r="X5" s="787" t="s">
        <v>540</v>
      </c>
      <c r="Y5" s="785" t="s">
        <v>242</v>
      </c>
    </row>
    <row r="6" spans="1:26" ht="15.75" thickBot="1">
      <c r="A6" s="788" t="s">
        <v>243</v>
      </c>
      <c r="B6" s="512"/>
      <c r="C6" s="513"/>
      <c r="D6" s="512"/>
      <c r="E6" s="513"/>
      <c r="F6" s="514"/>
      <c r="G6" s="513"/>
      <c r="H6" s="515"/>
      <c r="I6" s="513"/>
      <c r="J6" s="514"/>
      <c r="K6" s="513"/>
      <c r="L6" s="514"/>
      <c r="M6" s="513"/>
      <c r="N6" s="514"/>
      <c r="O6" s="513"/>
      <c r="P6" s="514"/>
      <c r="Q6" s="513"/>
      <c r="R6" s="514"/>
      <c r="S6" s="513"/>
      <c r="T6" s="514"/>
      <c r="U6" s="513"/>
      <c r="V6" s="514"/>
      <c r="W6" s="513"/>
      <c r="X6" s="514"/>
      <c r="Y6" s="513"/>
    </row>
    <row r="7" spans="1:26" s="32" customFormat="1" ht="15.75" thickBot="1">
      <c r="A7" s="788" t="s">
        <v>244</v>
      </c>
      <c r="B7" s="512"/>
      <c r="C7" s="513"/>
      <c r="D7" s="512"/>
      <c r="E7" s="513"/>
      <c r="F7" s="514"/>
      <c r="G7" s="513"/>
      <c r="H7" s="515"/>
      <c r="I7" s="513"/>
      <c r="J7" s="514"/>
      <c r="K7" s="513"/>
      <c r="L7" s="514"/>
      <c r="M7" s="513"/>
      <c r="N7" s="514"/>
      <c r="O7" s="513"/>
      <c r="P7" s="514"/>
      <c r="Q7" s="513"/>
      <c r="R7" s="514"/>
      <c r="S7" s="513"/>
      <c r="T7" s="514"/>
      <c r="U7" s="513"/>
      <c r="V7" s="514"/>
      <c r="W7" s="513"/>
      <c r="X7" s="514"/>
      <c r="Y7" s="513"/>
    </row>
    <row r="8" spans="1:26" s="32" customFormat="1" ht="12.75" customHeight="1">
      <c r="A8" s="1601" t="s">
        <v>245</v>
      </c>
      <c r="B8" s="1595">
        <f>SUM(B6:B7)</f>
        <v>0</v>
      </c>
      <c r="C8" s="1593" t="e">
        <f>(6+12)/B8</f>
        <v>#DIV/0!</v>
      </c>
      <c r="D8" s="1604">
        <f>SUM(D6:D7)</f>
        <v>0</v>
      </c>
      <c r="E8" s="1599"/>
      <c r="F8" s="1595">
        <f>F6+F7</f>
        <v>0</v>
      </c>
      <c r="G8" s="1593" t="e">
        <f>(14+13)/F8</f>
        <v>#DIV/0!</v>
      </c>
      <c r="H8" s="1595">
        <f>SUM(H6:H7)</f>
        <v>0</v>
      </c>
      <c r="I8" s="1593" t="e">
        <f>(11+5)/H8</f>
        <v>#DIV/0!</v>
      </c>
      <c r="J8" s="1595">
        <f>SUM(J6:J7)</f>
        <v>0</v>
      </c>
      <c r="K8" s="1593" t="e">
        <f>(5+3)/J8</f>
        <v>#DIV/0!</v>
      </c>
      <c r="L8" s="1595">
        <f>SUM(L6:L7)</f>
        <v>0</v>
      </c>
      <c r="M8" s="1593" t="e">
        <f>6/L8</f>
        <v>#DIV/0!</v>
      </c>
      <c r="N8" s="1597">
        <f>SUM(N6:N7)</f>
        <v>0</v>
      </c>
      <c r="O8" s="1593" t="e">
        <f>(3+3)/N8</f>
        <v>#DIV/0!</v>
      </c>
      <c r="P8" s="1597">
        <f>SUM(P6:P7)</f>
        <v>0</v>
      </c>
      <c r="Q8" s="1593" t="e">
        <f>(6+14)/P8</f>
        <v>#DIV/0!</v>
      </c>
      <c r="R8" s="1597">
        <f>SUM(R6:R7)</f>
        <v>0</v>
      </c>
      <c r="S8" s="1593" t="e">
        <f>5/R8</f>
        <v>#DIV/0!</v>
      </c>
      <c r="T8" s="1597">
        <f>SUM(T6:T7)</f>
        <v>0</v>
      </c>
      <c r="U8" s="1593" t="e">
        <f>(16+3)/T8</f>
        <v>#DIV/0!</v>
      </c>
      <c r="V8" s="1597">
        <f>SUM(V6:V7)</f>
        <v>0</v>
      </c>
      <c r="W8" s="1593"/>
      <c r="X8" s="1597">
        <f>SUM(X6:X7)</f>
        <v>0</v>
      </c>
      <c r="Y8" s="1593"/>
    </row>
    <row r="9" spans="1:26" s="32" customFormat="1" ht="17.25" customHeight="1" thickBot="1">
      <c r="A9" s="1601"/>
      <c r="B9" s="1596"/>
      <c r="C9" s="1594"/>
      <c r="D9" s="1605"/>
      <c r="E9" s="1600"/>
      <c r="F9" s="1596"/>
      <c r="G9" s="1594"/>
      <c r="H9" s="1596"/>
      <c r="I9" s="1594"/>
      <c r="J9" s="1596"/>
      <c r="K9" s="1594"/>
      <c r="L9" s="1596"/>
      <c r="M9" s="1594"/>
      <c r="N9" s="1605"/>
      <c r="O9" s="1594"/>
      <c r="P9" s="1605"/>
      <c r="Q9" s="1594"/>
      <c r="R9" s="1605"/>
      <c r="S9" s="1594"/>
      <c r="T9" s="1605"/>
      <c r="U9" s="1594"/>
      <c r="V9" s="1605"/>
      <c r="W9" s="1594"/>
      <c r="X9" s="1605"/>
      <c r="Y9" s="1594"/>
    </row>
    <row r="10" spans="1:26" ht="15.75" thickBot="1">
      <c r="A10" s="788" t="s">
        <v>246</v>
      </c>
      <c r="B10" s="512"/>
      <c r="C10" s="513"/>
      <c r="D10" s="512"/>
      <c r="E10" s="513"/>
      <c r="F10" s="514"/>
      <c r="G10" s="513"/>
      <c r="H10" s="515"/>
      <c r="I10" s="513"/>
      <c r="J10" s="514"/>
      <c r="K10" s="513"/>
      <c r="L10" s="514"/>
      <c r="M10" s="513"/>
      <c r="N10" s="514"/>
      <c r="O10" s="513"/>
      <c r="P10" s="514"/>
      <c r="Q10" s="513"/>
      <c r="R10" s="514"/>
      <c r="S10" s="513"/>
      <c r="T10" s="514"/>
      <c r="U10" s="513"/>
      <c r="V10" s="514"/>
      <c r="W10" s="513"/>
      <c r="X10" s="514"/>
      <c r="Y10" s="513"/>
    </row>
    <row r="11" spans="1:26" ht="15.75" thickBot="1">
      <c r="A11" s="788" t="s">
        <v>247</v>
      </c>
      <c r="B11" s="512"/>
      <c r="C11" s="513"/>
      <c r="D11" s="512"/>
      <c r="E11" s="513"/>
      <c r="F11" s="514"/>
      <c r="G11" s="513"/>
      <c r="H11" s="515"/>
      <c r="I11" s="513"/>
      <c r="J11" s="514"/>
      <c r="K11" s="513"/>
      <c r="L11" s="514"/>
      <c r="M11" s="513"/>
      <c r="N11" s="514"/>
      <c r="O11" s="513"/>
      <c r="P11" s="514"/>
      <c r="Q11" s="513"/>
      <c r="R11" s="514"/>
      <c r="S11" s="513"/>
      <c r="T11" s="514"/>
      <c r="U11" s="513"/>
      <c r="V11" s="514"/>
      <c r="W11" s="513"/>
      <c r="X11" s="514"/>
      <c r="Y11" s="513"/>
    </row>
    <row r="12" spans="1:26" ht="15.75" thickBot="1">
      <c r="A12" s="788" t="s">
        <v>248</v>
      </c>
      <c r="B12" s="512"/>
      <c r="C12" s="513"/>
      <c r="D12" s="512"/>
      <c r="E12" s="513"/>
      <c r="F12" s="514"/>
      <c r="G12" s="513"/>
      <c r="H12" s="515"/>
      <c r="I12" s="513"/>
      <c r="J12" s="514"/>
      <c r="K12" s="513"/>
      <c r="L12" s="514"/>
      <c r="M12" s="513"/>
      <c r="N12" s="514"/>
      <c r="O12" s="513"/>
      <c r="P12" s="514"/>
      <c r="Q12" s="513"/>
      <c r="R12" s="514"/>
      <c r="S12" s="513"/>
      <c r="T12" s="514"/>
      <c r="U12" s="513"/>
      <c r="V12" s="514"/>
      <c r="W12" s="513"/>
      <c r="X12" s="514"/>
      <c r="Y12" s="513"/>
    </row>
    <row r="13" spans="1:26" ht="15.75" thickBot="1">
      <c r="A13" s="788" t="s">
        <v>211</v>
      </c>
      <c r="B13" s="512"/>
      <c r="C13" s="513"/>
      <c r="D13" s="512"/>
      <c r="E13" s="513"/>
      <c r="F13" s="514"/>
      <c r="G13" s="513"/>
      <c r="H13" s="515"/>
      <c r="I13" s="513"/>
      <c r="J13" s="514"/>
      <c r="K13" s="513"/>
      <c r="L13" s="514"/>
      <c r="M13" s="513"/>
      <c r="N13" s="514"/>
      <c r="O13" s="513"/>
      <c r="P13" s="514"/>
      <c r="Q13" s="513"/>
      <c r="R13" s="514"/>
      <c r="S13" s="513"/>
      <c r="T13" s="514"/>
      <c r="U13" s="513"/>
      <c r="V13" s="514"/>
      <c r="W13" s="513"/>
      <c r="X13" s="514"/>
      <c r="Y13" s="513"/>
    </row>
    <row r="14" spans="1:26" ht="12.75" customHeight="1">
      <c r="A14" s="1601" t="s">
        <v>249</v>
      </c>
      <c r="B14" s="1595">
        <f>SUM(B10:B13)</f>
        <v>0</v>
      </c>
      <c r="C14" s="1593" t="e">
        <f>(11+4+2)/B14</f>
        <v>#DIV/0!</v>
      </c>
      <c r="D14" s="1604">
        <f>SUM(D10:D13)</f>
        <v>0</v>
      </c>
      <c r="E14" s="1599" t="e">
        <f>1/D14</f>
        <v>#DIV/0!</v>
      </c>
      <c r="F14" s="1595">
        <f>SUM(F10:F13)</f>
        <v>0</v>
      </c>
      <c r="G14" s="1593" t="e">
        <f>(11+4+1)/F14</f>
        <v>#DIV/0!</v>
      </c>
      <c r="H14" s="1595">
        <f>SUM(H10:H13)</f>
        <v>0</v>
      </c>
      <c r="I14" s="1593" t="e">
        <f>2/H14</f>
        <v>#DIV/0!</v>
      </c>
      <c r="J14" s="1595">
        <f>SUM(J10:J13)</f>
        <v>0</v>
      </c>
      <c r="K14" s="1593" t="e">
        <f>1/J14</f>
        <v>#DIV/0!</v>
      </c>
      <c r="L14" s="1595">
        <f>SUM(L10:L13)</f>
        <v>0</v>
      </c>
      <c r="M14" s="1593" t="e">
        <f>(8+2)/L14</f>
        <v>#DIV/0!</v>
      </c>
      <c r="N14" s="1597">
        <f>SUM(N10:N13)</f>
        <v>0</v>
      </c>
      <c r="O14" s="1593" t="e">
        <f>4/N14</f>
        <v>#DIV/0!</v>
      </c>
      <c r="P14" s="1597">
        <f>SUM(P10:P13)</f>
        <v>0</v>
      </c>
      <c r="Q14" s="1593" t="e">
        <f>(1+6)/P14</f>
        <v>#DIV/0!</v>
      </c>
      <c r="R14" s="1597">
        <f>SUM(R10:R13)</f>
        <v>0</v>
      </c>
      <c r="S14" s="1593" t="e">
        <f>3/R14</f>
        <v>#DIV/0!</v>
      </c>
      <c r="T14" s="1597">
        <f>SUM(T10:T13)</f>
        <v>0</v>
      </c>
      <c r="U14" s="1593" t="e">
        <f>11/T14</f>
        <v>#DIV/0!</v>
      </c>
      <c r="V14" s="1597">
        <f>SUM(V10:V13)</f>
        <v>0</v>
      </c>
      <c r="W14" s="1593" t="e">
        <f>(2+6)/V14</f>
        <v>#DIV/0!</v>
      </c>
      <c r="X14" s="1597">
        <f>SUM(X10:X13)</f>
        <v>0</v>
      </c>
      <c r="Y14" s="1593" t="e">
        <f>3/X14</f>
        <v>#DIV/0!</v>
      </c>
      <c r="Z14" s="179"/>
    </row>
    <row r="15" spans="1:26" ht="15.75" customHeight="1" thickBot="1">
      <c r="A15" s="1601"/>
      <c r="B15" s="1596"/>
      <c r="C15" s="1594"/>
      <c r="D15" s="1598"/>
      <c r="E15" s="1600"/>
      <c r="F15" s="1596"/>
      <c r="G15" s="1594"/>
      <c r="H15" s="1596"/>
      <c r="I15" s="1594"/>
      <c r="J15" s="1596"/>
      <c r="K15" s="1594"/>
      <c r="L15" s="1596"/>
      <c r="M15" s="1594"/>
      <c r="N15" s="1598"/>
      <c r="O15" s="1594"/>
      <c r="P15" s="1598"/>
      <c r="Q15" s="1594"/>
      <c r="R15" s="1598"/>
      <c r="S15" s="1594"/>
      <c r="T15" s="1598"/>
      <c r="U15" s="1594"/>
      <c r="V15" s="1598"/>
      <c r="W15" s="1594"/>
      <c r="X15" s="1598"/>
      <c r="Y15" s="1594"/>
      <c r="Z15" s="179"/>
    </row>
    <row r="16" spans="1:26" ht="12.75" customHeight="1">
      <c r="A16" s="1602" t="s">
        <v>250</v>
      </c>
      <c r="B16" s="1595">
        <f>B8+B14</f>
        <v>0</v>
      </c>
      <c r="C16" s="1593" t="e">
        <f>(6+11+4+12+2)/B16</f>
        <v>#DIV/0!</v>
      </c>
      <c r="D16" s="1597">
        <f>D8+D14</f>
        <v>0</v>
      </c>
      <c r="E16" s="1599" t="e">
        <f>1/D16</f>
        <v>#DIV/0!</v>
      </c>
      <c r="F16" s="1595">
        <f>F8+F14</f>
        <v>0</v>
      </c>
      <c r="G16" s="1593" t="e">
        <f>(14+11+4+13+1)/F16</f>
        <v>#DIV/0!</v>
      </c>
      <c r="H16" s="1595">
        <f>H8+H14</f>
        <v>0</v>
      </c>
      <c r="I16" s="1593" t="e">
        <f>(12+5+1)/H16</f>
        <v>#DIV/0!</v>
      </c>
      <c r="J16" s="1595">
        <f>J8+J14</f>
        <v>0</v>
      </c>
      <c r="K16" s="1593" t="e">
        <f>(4+5)/J16</f>
        <v>#DIV/0!</v>
      </c>
      <c r="L16" s="1595">
        <f>L8+L14</f>
        <v>0</v>
      </c>
      <c r="M16" s="1593" t="e">
        <f>(12+2+2)/L16</f>
        <v>#DIV/0!</v>
      </c>
      <c r="N16" s="1595">
        <f>N8+N14</f>
        <v>0</v>
      </c>
      <c r="O16" s="1593" t="e">
        <f>(3+1+3)/N16</f>
        <v>#DIV/0!</v>
      </c>
      <c r="P16" s="1595">
        <f>P8+P14</f>
        <v>0</v>
      </c>
      <c r="Q16" s="1593" t="e">
        <f>(20+6+1)/P16</f>
        <v>#DIV/0!</v>
      </c>
      <c r="R16" s="1595">
        <f>R8+R14</f>
        <v>0</v>
      </c>
      <c r="S16" s="1593" t="e">
        <f>(3+5)/R16</f>
        <v>#DIV/0!</v>
      </c>
      <c r="T16" s="1595">
        <f>T8+T14</f>
        <v>0</v>
      </c>
      <c r="U16" s="1593" t="e">
        <f>(3+27)/T16</f>
        <v>#DIV/0!</v>
      </c>
      <c r="V16" s="1595">
        <f>V8+V14</f>
        <v>0</v>
      </c>
      <c r="W16" s="1593" t="e">
        <f>(6+2)/V16</f>
        <v>#DIV/0!</v>
      </c>
      <c r="X16" s="1595">
        <f>X8+X14</f>
        <v>0</v>
      </c>
      <c r="Y16" s="1593" t="e">
        <f>3/X16</f>
        <v>#DIV/0!</v>
      </c>
      <c r="Z16" s="179"/>
    </row>
    <row r="17" spans="1:26" ht="27" customHeight="1" thickBot="1">
      <c r="A17" s="1603"/>
      <c r="B17" s="1596"/>
      <c r="C17" s="1594"/>
      <c r="D17" s="1598"/>
      <c r="E17" s="1600"/>
      <c r="F17" s="1596"/>
      <c r="G17" s="1594"/>
      <c r="H17" s="1596"/>
      <c r="I17" s="1594"/>
      <c r="J17" s="1596"/>
      <c r="K17" s="1594"/>
      <c r="L17" s="1596"/>
      <c r="M17" s="1594"/>
      <c r="N17" s="1596"/>
      <c r="O17" s="1594"/>
      <c r="P17" s="1596"/>
      <c r="Q17" s="1594"/>
      <c r="R17" s="1596"/>
      <c r="S17" s="1594"/>
      <c r="T17" s="1596"/>
      <c r="U17" s="1594"/>
      <c r="V17" s="1596"/>
      <c r="W17" s="1594"/>
      <c r="X17" s="1596"/>
      <c r="Y17" s="1594"/>
      <c r="Z17" s="179"/>
    </row>
  </sheetData>
  <mergeCells count="90">
    <mergeCell ref="X16:X17"/>
    <mergeCell ref="Y16:Y17"/>
    <mergeCell ref="X4:Y4"/>
    <mergeCell ref="X8:X9"/>
    <mergeCell ref="Y8:Y9"/>
    <mergeCell ref="X14:X15"/>
    <mergeCell ref="Y14:Y15"/>
    <mergeCell ref="W16:W17"/>
    <mergeCell ref="V4:W4"/>
    <mergeCell ref="V8:V9"/>
    <mergeCell ref="W8:W9"/>
    <mergeCell ref="V14:V15"/>
    <mergeCell ref="W14:W15"/>
    <mergeCell ref="V16:V17"/>
    <mergeCell ref="T16:T17"/>
    <mergeCell ref="U16:U17"/>
    <mergeCell ref="R8:R9"/>
    <mergeCell ref="S8:S9"/>
    <mergeCell ref="R14:R15"/>
    <mergeCell ref="S14:S15"/>
    <mergeCell ref="R16:R17"/>
    <mergeCell ref="S16:S17"/>
    <mergeCell ref="T4:U4"/>
    <mergeCell ref="T8:T9"/>
    <mergeCell ref="U8:U9"/>
    <mergeCell ref="T14:T15"/>
    <mergeCell ref="U14:U15"/>
    <mergeCell ref="R4:S4"/>
    <mergeCell ref="N8:N9"/>
    <mergeCell ref="O8:O9"/>
    <mergeCell ref="N14:N15"/>
    <mergeCell ref="O14:O15"/>
    <mergeCell ref="P4:Q4"/>
    <mergeCell ref="P8:P9"/>
    <mergeCell ref="Q8:Q9"/>
    <mergeCell ref="P14:P15"/>
    <mergeCell ref="Q14:Q15"/>
    <mergeCell ref="A1:M1"/>
    <mergeCell ref="A2:M3"/>
    <mergeCell ref="A4:A5"/>
    <mergeCell ref="B4:C4"/>
    <mergeCell ref="D4:E4"/>
    <mergeCell ref="F4:G4"/>
    <mergeCell ref="H4:I4"/>
    <mergeCell ref="J4:K4"/>
    <mergeCell ref="L4:M4"/>
    <mergeCell ref="P16:P17"/>
    <mergeCell ref="Q16:Q17"/>
    <mergeCell ref="N4:O4"/>
    <mergeCell ref="N16:N17"/>
    <mergeCell ref="O16:O17"/>
    <mergeCell ref="M8:M9"/>
    <mergeCell ref="F8:F9"/>
    <mergeCell ref="G8:G9"/>
    <mergeCell ref="H8:H9"/>
    <mergeCell ref="I8:I9"/>
    <mergeCell ref="A8:A9"/>
    <mergeCell ref="J8:J9"/>
    <mergeCell ref="K8:K9"/>
    <mergeCell ref="L8:L9"/>
    <mergeCell ref="B8:B9"/>
    <mergeCell ref="C8:C9"/>
    <mergeCell ref="D8:D9"/>
    <mergeCell ref="E8:E9"/>
    <mergeCell ref="A14:A15"/>
    <mergeCell ref="A16:A17"/>
    <mergeCell ref="F14:F15"/>
    <mergeCell ref="B14:B15"/>
    <mergeCell ref="C14:C15"/>
    <mergeCell ref="D14:D15"/>
    <mergeCell ref="E14:E15"/>
    <mergeCell ref="F16:F17"/>
    <mergeCell ref="I14:I15"/>
    <mergeCell ref="J14:J15"/>
    <mergeCell ref="L16:L17"/>
    <mergeCell ref="M16:M17"/>
    <mergeCell ref="I16:I17"/>
    <mergeCell ref="J16:J17"/>
    <mergeCell ref="K16:K17"/>
    <mergeCell ref="K14:K15"/>
    <mergeCell ref="L14:L15"/>
    <mergeCell ref="M14:M15"/>
    <mergeCell ref="G16:G17"/>
    <mergeCell ref="G14:G15"/>
    <mergeCell ref="H14:H15"/>
    <mergeCell ref="H16:H17"/>
    <mergeCell ref="B16:B17"/>
    <mergeCell ref="C16:C17"/>
    <mergeCell ref="D16:D17"/>
    <mergeCell ref="E16:E17"/>
  </mergeCells>
  <phoneticPr fontId="0" type="noConversion"/>
  <printOptions horizontalCentered="1"/>
  <pageMargins left="0.11811023622047245" right="0.19685039370078741" top="0.74803149606299213" bottom="0.74803149606299213" header="0.31496062992125984" footer="0.31496062992125984"/>
  <pageSetup paperSize="9" scale="72" orientation="landscape" useFirstPageNumber="1" r:id="rId1"/>
  <headerFooter>
    <oddHeader>&amp;L&amp;"Trebuchet MS,Negrito"&amp;12&amp;K01+018AGRUPAMENTO DE ESCOLAS MIGUEL TORGA&amp;C
&amp;R&amp;"Trebuchet MS,Negrito itálico"&amp;12AUTO - AVALIAÇÃO
2ºPeríodo  2011/12
Tabela XXVI</oddHeader>
    <oddFooter>&amp;C
&amp;R26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K25"/>
  <sheetViews>
    <sheetView zoomScale="80" zoomScaleNormal="80" workbookViewId="0">
      <selection activeCell="R23" sqref="R23"/>
    </sheetView>
  </sheetViews>
  <sheetFormatPr defaultRowHeight="12.75"/>
  <cols>
    <col min="1" max="1" width="11.5703125" style="335" customWidth="1"/>
    <col min="2" max="2" width="10" customWidth="1"/>
    <col min="3" max="3" width="10.28515625" customWidth="1"/>
    <col min="4" max="4" width="11.85546875" customWidth="1"/>
    <col min="5" max="5" width="13.7109375" customWidth="1"/>
    <col min="6" max="6" width="14.28515625" customWidth="1"/>
    <col min="7" max="7" width="15" customWidth="1"/>
    <col min="8" max="8" width="13.28515625" customWidth="1"/>
    <col min="9" max="9" width="15.42578125" customWidth="1"/>
    <col min="10" max="10" width="15.28515625" customWidth="1"/>
    <col min="11" max="11" width="16" customWidth="1"/>
  </cols>
  <sheetData>
    <row r="2" spans="1:11" ht="15">
      <c r="A2" s="1628" t="s">
        <v>541</v>
      </c>
      <c r="B2" s="1629"/>
      <c r="C2" s="1629"/>
      <c r="D2" s="1629"/>
      <c r="E2" s="1629"/>
      <c r="F2" s="1629"/>
      <c r="G2" s="1629"/>
      <c r="H2" s="1629"/>
      <c r="I2" s="1629"/>
      <c r="J2" s="1629"/>
      <c r="K2" s="1629"/>
    </row>
    <row r="3" spans="1:11" ht="13.5" thickBot="1">
      <c r="A3" s="790"/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12.75" customHeight="1">
      <c r="A4" s="790"/>
      <c r="B4" s="1632" t="s">
        <v>374</v>
      </c>
      <c r="C4" s="1633"/>
      <c r="D4" s="1633"/>
      <c r="E4" s="1625" t="s">
        <v>376</v>
      </c>
      <c r="F4" s="1625" t="s">
        <v>465</v>
      </c>
      <c r="G4" s="1625" t="s">
        <v>466</v>
      </c>
      <c r="H4" s="1625" t="s">
        <v>378</v>
      </c>
      <c r="I4" s="1625" t="s">
        <v>379</v>
      </c>
      <c r="J4" s="1625" t="s">
        <v>387</v>
      </c>
      <c r="K4" s="1625" t="s">
        <v>388</v>
      </c>
    </row>
    <row r="5" spans="1:11" ht="23.25" customHeight="1" thickBot="1">
      <c r="A5" s="790"/>
      <c r="B5" s="1634"/>
      <c r="C5" s="1635"/>
      <c r="D5" s="1635"/>
      <c r="E5" s="1626"/>
      <c r="F5" s="1626"/>
      <c r="G5" s="1626"/>
      <c r="H5" s="1626"/>
      <c r="I5" s="1626"/>
      <c r="J5" s="1626"/>
      <c r="K5" s="1626"/>
    </row>
    <row r="6" spans="1:11" ht="27" customHeight="1">
      <c r="A6" s="1631" t="s">
        <v>235</v>
      </c>
      <c r="B6" s="1625" t="s">
        <v>140</v>
      </c>
      <c r="C6" s="1625" t="s">
        <v>142</v>
      </c>
      <c r="D6" s="1625" t="s">
        <v>375</v>
      </c>
      <c r="E6" s="1626" t="s">
        <v>377</v>
      </c>
      <c r="F6" s="1626"/>
      <c r="G6" s="1626"/>
      <c r="H6" s="1626"/>
      <c r="I6" s="1626"/>
      <c r="J6" s="1626"/>
      <c r="K6" s="1626"/>
    </row>
    <row r="7" spans="1:11" ht="16.5" customHeight="1" thickBot="1">
      <c r="A7" s="1631"/>
      <c r="B7" s="1626"/>
      <c r="C7" s="1626"/>
      <c r="D7" s="1626"/>
      <c r="E7" s="1627"/>
      <c r="F7" s="1626"/>
      <c r="G7" s="1627"/>
      <c r="H7" s="1626"/>
      <c r="I7" s="1627"/>
      <c r="J7" s="1626"/>
      <c r="K7" s="1627"/>
    </row>
    <row r="8" spans="1:11" ht="16.5" customHeight="1" thickBot="1">
      <c r="A8" s="336" t="s">
        <v>116</v>
      </c>
      <c r="B8" s="330"/>
      <c r="C8" s="330"/>
      <c r="D8" s="789">
        <f>C8-B8</f>
        <v>0</v>
      </c>
      <c r="E8" s="331" t="e">
        <f>C8/'XII-RESUMO'!C7</f>
        <v>#DIV/0!</v>
      </c>
      <c r="F8" s="330"/>
      <c r="G8" s="331" t="e">
        <f>F8/C8</f>
        <v>#DIV/0!</v>
      </c>
      <c r="H8" s="330"/>
      <c r="I8" s="331">
        <v>0</v>
      </c>
      <c r="J8" s="330"/>
      <c r="K8" s="331" t="e">
        <f>J8/C8</f>
        <v>#DIV/0!</v>
      </c>
    </row>
    <row r="9" spans="1:11" ht="16.5" customHeight="1" thickBot="1">
      <c r="A9" s="337" t="s">
        <v>114</v>
      </c>
      <c r="B9" s="330"/>
      <c r="C9" s="330"/>
      <c r="D9" s="789">
        <f>C9-B9</f>
        <v>0</v>
      </c>
      <c r="E9" s="331" t="e">
        <f>C9/'XII-RESUMO'!C8</f>
        <v>#DIV/0!</v>
      </c>
      <c r="F9" s="330"/>
      <c r="G9" s="331" t="e">
        <f>F9/C9</f>
        <v>#DIV/0!</v>
      </c>
      <c r="H9" s="330"/>
      <c r="I9" s="331">
        <v>0</v>
      </c>
      <c r="J9" s="330"/>
      <c r="K9" s="331" t="e">
        <f>J9/C9</f>
        <v>#DIV/0!</v>
      </c>
    </row>
    <row r="10" spans="1:11" ht="16.5" customHeight="1" thickBot="1">
      <c r="A10" s="336" t="s">
        <v>115</v>
      </c>
      <c r="B10" s="330"/>
      <c r="C10" s="330"/>
      <c r="D10" s="789">
        <f>C10-B10</f>
        <v>0</v>
      </c>
      <c r="E10" s="331" t="e">
        <f>C10/'XII-RESUMO'!C9</f>
        <v>#DIV/0!</v>
      </c>
      <c r="F10" s="330"/>
      <c r="G10" s="331" t="e">
        <f>F10/C10</f>
        <v>#DIV/0!</v>
      </c>
      <c r="H10" s="330"/>
      <c r="I10" s="331">
        <v>0</v>
      </c>
      <c r="J10" s="330"/>
      <c r="K10" s="331" t="e">
        <f>J10/C10</f>
        <v>#DIV/0!</v>
      </c>
    </row>
    <row r="11" spans="1:11" ht="16.5" customHeight="1" thickBot="1">
      <c r="A11" s="337" t="s">
        <v>117</v>
      </c>
      <c r="B11" s="330"/>
      <c r="C11" s="330"/>
      <c r="D11" s="789">
        <f>C11-B11</f>
        <v>0</v>
      </c>
      <c r="E11" s="331" t="e">
        <f>C11/'XII-RESUMO'!C10</f>
        <v>#DIV/0!</v>
      </c>
      <c r="F11" s="330"/>
      <c r="G11" s="331" t="e">
        <f>F11/C11</f>
        <v>#DIV/0!</v>
      </c>
      <c r="H11" s="330"/>
      <c r="I11" s="331">
        <v>0</v>
      </c>
      <c r="J11" s="330"/>
      <c r="K11" s="331" t="e">
        <f>J11/C11</f>
        <v>#DIV/0!</v>
      </c>
    </row>
    <row r="12" spans="1:11" ht="16.5" customHeight="1">
      <c r="A12" s="1620" t="s">
        <v>482</v>
      </c>
      <c r="B12" s="1624">
        <f>SUM(B8:B11)</f>
        <v>0</v>
      </c>
      <c r="C12" s="1624">
        <f>SUM(C8:C11)</f>
        <v>0</v>
      </c>
      <c r="D12" s="1624">
        <f>D10+D11</f>
        <v>0</v>
      </c>
      <c r="E12" s="1615" t="e">
        <f>C12/('XII-RESUMO'!C11)</f>
        <v>#DIV/0!</v>
      </c>
      <c r="F12" s="1624">
        <f>SUM(F8:F11)</f>
        <v>0</v>
      </c>
      <c r="G12" s="1615" t="e">
        <f>F12/C12</f>
        <v>#DIV/0!</v>
      </c>
      <c r="H12" s="1624">
        <f>SUM(H8:H11)</f>
        <v>0</v>
      </c>
      <c r="I12" s="1615" t="e">
        <f>H12/C12</f>
        <v>#DIV/0!</v>
      </c>
      <c r="J12" s="1624">
        <f>SUM(J8:J11)</f>
        <v>0</v>
      </c>
      <c r="K12" s="1615" t="e">
        <f>J12/C12</f>
        <v>#DIV/0!</v>
      </c>
    </row>
    <row r="13" spans="1:11" ht="16.5" customHeight="1" thickBot="1">
      <c r="A13" s="1620"/>
      <c r="B13" s="1619"/>
      <c r="C13" s="1619"/>
      <c r="D13" s="1619"/>
      <c r="E13" s="1614"/>
      <c r="F13" s="1619"/>
      <c r="G13" s="1614"/>
      <c r="H13" s="1619"/>
      <c r="I13" s="1614"/>
      <c r="J13" s="1619"/>
      <c r="K13" s="1614"/>
    </row>
    <row r="14" spans="1:11" ht="15.75" thickBot="1">
      <c r="A14" s="336" t="s">
        <v>125</v>
      </c>
      <c r="B14" s="330"/>
      <c r="C14" s="330"/>
      <c r="D14" s="789">
        <f>C14-B14</f>
        <v>0</v>
      </c>
      <c r="E14" s="331">
        <f>C14/'VI-5º ANO'!B17</f>
        <v>0</v>
      </c>
      <c r="F14" s="330"/>
      <c r="G14" s="331" t="e">
        <f>F14/C14</f>
        <v>#DIV/0!</v>
      </c>
      <c r="H14" s="330"/>
      <c r="I14" s="331" t="e">
        <f>H14/C14</f>
        <v>#DIV/0!</v>
      </c>
      <c r="J14" s="330"/>
      <c r="K14" s="331" t="e">
        <f>J14/C14</f>
        <v>#DIV/0!</v>
      </c>
    </row>
    <row r="15" spans="1:11" ht="15.75" thickBot="1">
      <c r="A15" s="337" t="s">
        <v>127</v>
      </c>
      <c r="B15" s="330"/>
      <c r="C15" s="330"/>
      <c r="D15" s="789">
        <f>C15-B15</f>
        <v>0</v>
      </c>
      <c r="E15" s="331">
        <f>C15/'VII-6º ANO'!B16</f>
        <v>0</v>
      </c>
      <c r="F15" s="413"/>
      <c r="G15" s="331" t="e">
        <f>F15/C15</f>
        <v>#DIV/0!</v>
      </c>
      <c r="H15" s="330"/>
      <c r="I15" s="331" t="e">
        <f>H15/C15</f>
        <v>#DIV/0!</v>
      </c>
      <c r="J15" s="330"/>
      <c r="K15" s="331" t="e">
        <f>J15/C15</f>
        <v>#DIV/0!</v>
      </c>
    </row>
    <row r="16" spans="1:11" ht="12.75" customHeight="1">
      <c r="A16" s="1620" t="s">
        <v>245</v>
      </c>
      <c r="B16" s="1624">
        <f>B14+B15</f>
        <v>0</v>
      </c>
      <c r="C16" s="1624">
        <f>C14+C15</f>
        <v>0</v>
      </c>
      <c r="D16" s="1624">
        <f>D14+D15</f>
        <v>0</v>
      </c>
      <c r="E16" s="1615">
        <f>C16/('VI-5º ANO'!B17+'VII-6º ANO'!B16)</f>
        <v>0</v>
      </c>
      <c r="F16" s="1624">
        <f>SUM(F14:F15)</f>
        <v>0</v>
      </c>
      <c r="G16" s="1615" t="e">
        <f>F16/C16</f>
        <v>#DIV/0!</v>
      </c>
      <c r="H16" s="1624">
        <f>H14+H15</f>
        <v>0</v>
      </c>
      <c r="I16" s="1615" t="e">
        <f>H16/C16</f>
        <v>#DIV/0!</v>
      </c>
      <c r="J16" s="1624">
        <f>J14+J15</f>
        <v>0</v>
      </c>
      <c r="K16" s="1615" t="e">
        <f>J16/C16</f>
        <v>#DIV/0!</v>
      </c>
    </row>
    <row r="17" spans="1:11" ht="20.25" customHeight="1" thickBot="1">
      <c r="A17" s="1620"/>
      <c r="B17" s="1619"/>
      <c r="C17" s="1619"/>
      <c r="D17" s="1619"/>
      <c r="E17" s="1614"/>
      <c r="F17" s="1619"/>
      <c r="G17" s="1614"/>
      <c r="H17" s="1619"/>
      <c r="I17" s="1614"/>
      <c r="J17" s="1619"/>
      <c r="K17" s="1614"/>
    </row>
    <row r="18" spans="1:11" ht="15.75" thickBot="1">
      <c r="A18" s="336" t="s">
        <v>130</v>
      </c>
      <c r="B18" s="330"/>
      <c r="C18" s="330"/>
      <c r="D18" s="789">
        <f>C18-B18</f>
        <v>0</v>
      </c>
      <c r="E18" s="331">
        <f>C18/'VIII-7º ANO'!B17</f>
        <v>0</v>
      </c>
      <c r="F18" s="330"/>
      <c r="G18" s="331" t="e">
        <f>F18/C18</f>
        <v>#DIV/0!</v>
      </c>
      <c r="H18" s="330"/>
      <c r="I18" s="331" t="e">
        <f>H18/C18</f>
        <v>#DIV/0!</v>
      </c>
      <c r="J18" s="330"/>
      <c r="K18" s="331" t="e">
        <f>J18/C18</f>
        <v>#DIV/0!</v>
      </c>
    </row>
    <row r="19" spans="1:11" ht="15.75" thickBot="1">
      <c r="A19" s="337" t="s">
        <v>131</v>
      </c>
      <c r="B19" s="330"/>
      <c r="C19" s="330"/>
      <c r="D19" s="789">
        <f>C19-B19</f>
        <v>0</v>
      </c>
      <c r="E19" s="331">
        <f>C19/'IX-8º ANO'!B15</f>
        <v>0</v>
      </c>
      <c r="F19" s="330"/>
      <c r="G19" s="331" t="e">
        <f>F19/C19</f>
        <v>#DIV/0!</v>
      </c>
      <c r="H19" s="330"/>
      <c r="I19" s="331" t="e">
        <f>H19/C19</f>
        <v>#DIV/0!</v>
      </c>
      <c r="J19" s="330"/>
      <c r="K19" s="331" t="e">
        <f>J19/C19</f>
        <v>#DIV/0!</v>
      </c>
    </row>
    <row r="20" spans="1:11" ht="15.75" thickBot="1">
      <c r="A20" s="336" t="s">
        <v>132</v>
      </c>
      <c r="B20" s="330"/>
      <c r="C20" s="330"/>
      <c r="D20" s="789">
        <f>C20-B20</f>
        <v>0</v>
      </c>
      <c r="E20" s="331">
        <f>C20/'X-9º ANO'!B13</f>
        <v>0</v>
      </c>
      <c r="F20" s="634"/>
      <c r="G20" s="635" t="e">
        <f>F20/C20</f>
        <v>#DIV/0!</v>
      </c>
      <c r="H20" s="435"/>
      <c r="I20" s="635" t="e">
        <f>H20/C20</f>
        <v>#DIV/0!</v>
      </c>
      <c r="J20" s="435"/>
      <c r="K20" s="635" t="e">
        <f>J20/C20</f>
        <v>#DIV/0!</v>
      </c>
    </row>
    <row r="21" spans="1:11" ht="15.75" thickBot="1">
      <c r="A21" s="337" t="s">
        <v>93</v>
      </c>
      <c r="B21" s="330"/>
      <c r="C21" s="330"/>
      <c r="D21" s="789">
        <f>C21-B21</f>
        <v>0</v>
      </c>
      <c r="E21" s="636">
        <f>C21/'XI-CEF''S'!B12</f>
        <v>0</v>
      </c>
      <c r="F21" s="791"/>
      <c r="G21" s="792"/>
      <c r="H21" s="791" t="s">
        <v>389</v>
      </c>
      <c r="I21" s="792"/>
      <c r="J21" s="791"/>
      <c r="K21" s="792"/>
    </row>
    <row r="22" spans="1:11" ht="12.75" customHeight="1">
      <c r="A22" s="1620" t="s">
        <v>249</v>
      </c>
      <c r="B22" s="1624">
        <f>B18+B19+B20+B21</f>
        <v>0</v>
      </c>
      <c r="C22" s="1624">
        <f>C18+C19+C20+C21</f>
        <v>0</v>
      </c>
      <c r="D22" s="1624">
        <f>D18+D19+D20+D21</f>
        <v>0</v>
      </c>
      <c r="E22" s="1615">
        <f>C22/('VIII-7º ANO'!B17+'IX-8º ANO'!B15+'X-9º ANO'!B13+'XI-CEF''S'!B12)</f>
        <v>0</v>
      </c>
      <c r="F22" s="1616">
        <f>SUM(F18:F21)</f>
        <v>0</v>
      </c>
      <c r="G22" s="1613" t="e">
        <f>F22/C22</f>
        <v>#DIV/0!</v>
      </c>
      <c r="H22" s="1616">
        <f>SUM(H18:H21)</f>
        <v>0</v>
      </c>
      <c r="I22" s="1613" t="e">
        <f>H22/C22</f>
        <v>#DIV/0!</v>
      </c>
      <c r="J22" s="1630">
        <f>J18+J19+J20+J21</f>
        <v>0</v>
      </c>
      <c r="K22" s="1613" t="e">
        <f>J22/C22</f>
        <v>#DIV/0!</v>
      </c>
    </row>
    <row r="23" spans="1:11" ht="23.25" customHeight="1" thickBot="1">
      <c r="A23" s="1621"/>
      <c r="B23" s="1619"/>
      <c r="C23" s="1619"/>
      <c r="D23" s="1619"/>
      <c r="E23" s="1614"/>
      <c r="F23" s="1617"/>
      <c r="G23" s="1614"/>
      <c r="H23" s="1617"/>
      <c r="I23" s="1614"/>
      <c r="J23" s="1619"/>
      <c r="K23" s="1614"/>
    </row>
    <row r="24" spans="1:11" ht="12.75" customHeight="1">
      <c r="A24" s="1622" t="s">
        <v>250</v>
      </c>
      <c r="B24" s="1624">
        <f>B16+B22+B12</f>
        <v>0</v>
      </c>
      <c r="C24" s="1624">
        <f>C16+C22+C12</f>
        <v>0</v>
      </c>
      <c r="D24" s="1624">
        <f>D16+D22+D12</f>
        <v>0</v>
      </c>
      <c r="E24" s="1615" t="e">
        <f>C24/('XII-RESUMO'!C14+'XII-RESUMO'!C18+'XII-RESUMO'!C11)</f>
        <v>#DIV/0!</v>
      </c>
      <c r="F24" s="1618">
        <f>F16+F22+F12</f>
        <v>0</v>
      </c>
      <c r="G24" s="1615" t="e">
        <f>F24/C24</f>
        <v>#DIV/0!</v>
      </c>
      <c r="H24" s="1618">
        <f>H16+H22+H12</f>
        <v>0</v>
      </c>
      <c r="I24" s="1615" t="e">
        <f>H24/C24</f>
        <v>#DIV/0!</v>
      </c>
      <c r="J24" s="1624">
        <f>J16+J22+J12</f>
        <v>0</v>
      </c>
      <c r="K24" s="1615" t="e">
        <f>J24/C24</f>
        <v>#DIV/0!</v>
      </c>
    </row>
    <row r="25" spans="1:11" ht="40.5" customHeight="1" thickBot="1">
      <c r="A25" s="1623"/>
      <c r="B25" s="1619"/>
      <c r="C25" s="1619"/>
      <c r="D25" s="1619"/>
      <c r="E25" s="1614"/>
      <c r="F25" s="1619"/>
      <c r="G25" s="1614"/>
      <c r="H25" s="1619"/>
      <c r="I25" s="1614"/>
      <c r="J25" s="1619"/>
      <c r="K25" s="1614"/>
    </row>
  </sheetData>
  <mergeCells count="58">
    <mergeCell ref="A2:K2"/>
    <mergeCell ref="J22:J23"/>
    <mergeCell ref="K22:K23"/>
    <mergeCell ref="D6:D7"/>
    <mergeCell ref="C16:C17"/>
    <mergeCell ref="D16:D17"/>
    <mergeCell ref="F12:F13"/>
    <mergeCell ref="G12:G13"/>
    <mergeCell ref="A6:A7"/>
    <mergeCell ref="I4:I7"/>
    <mergeCell ref="I16:I17"/>
    <mergeCell ref="H4:H7"/>
    <mergeCell ref="H16:H17"/>
    <mergeCell ref="E6:E7"/>
    <mergeCell ref="A16:A17"/>
    <mergeCell ref="B4:D5"/>
    <mergeCell ref="K24:K25"/>
    <mergeCell ref="J4:J7"/>
    <mergeCell ref="K4:K7"/>
    <mergeCell ref="J16:J17"/>
    <mergeCell ref="K16:K17"/>
    <mergeCell ref="J12:J13"/>
    <mergeCell ref="K12:K13"/>
    <mergeCell ref="C6:C7"/>
    <mergeCell ref="A12:A13"/>
    <mergeCell ref="J24:J25"/>
    <mergeCell ref="F4:F7"/>
    <mergeCell ref="B16:B17"/>
    <mergeCell ref="G4:G7"/>
    <mergeCell ref="F16:F17"/>
    <mergeCell ref="G16:G17"/>
    <mergeCell ref="I12:I13"/>
    <mergeCell ref="B6:B7"/>
    <mergeCell ref="B12:B13"/>
    <mergeCell ref="C12:C13"/>
    <mergeCell ref="D12:D13"/>
    <mergeCell ref="E12:E13"/>
    <mergeCell ref="H12:H13"/>
    <mergeCell ref="E4:E5"/>
    <mergeCell ref="E16:E17"/>
    <mergeCell ref="D22:D23"/>
    <mergeCell ref="B24:B25"/>
    <mergeCell ref="C24:C25"/>
    <mergeCell ref="D24:D25"/>
    <mergeCell ref="A22:A23"/>
    <mergeCell ref="A24:A25"/>
    <mergeCell ref="B22:B23"/>
    <mergeCell ref="C22:C23"/>
    <mergeCell ref="E22:E23"/>
    <mergeCell ref="E24:E25"/>
    <mergeCell ref="I22:I23"/>
    <mergeCell ref="I24:I25"/>
    <mergeCell ref="H22:H23"/>
    <mergeCell ref="F24:F25"/>
    <mergeCell ref="G24:G25"/>
    <mergeCell ref="H24:H25"/>
    <mergeCell ref="F22:F23"/>
    <mergeCell ref="G22:G23"/>
  </mergeCells>
  <phoneticPr fontId="0" type="noConversion"/>
  <pageMargins left="0.11811023622047245" right="0.11811023622047245" top="0.74803149606299213" bottom="0.74803149606299213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74"/>
  <sheetViews>
    <sheetView showGridLines="0" zoomScaleSheetLayoutView="100" zoomScalePageLayoutView="55" workbookViewId="0">
      <selection activeCell="L13" sqref="L13"/>
    </sheetView>
  </sheetViews>
  <sheetFormatPr defaultRowHeight="12.75"/>
  <cols>
    <col min="3" max="3" width="10.85546875" bestFit="1" customWidth="1"/>
    <col min="4" max="4" width="10" bestFit="1" customWidth="1"/>
    <col min="5" max="5" width="10.28515625" bestFit="1" customWidth="1"/>
    <col min="6" max="6" width="10.85546875" bestFit="1" customWidth="1"/>
    <col min="7" max="7" width="8.5703125" bestFit="1" customWidth="1"/>
    <col min="8" max="8" width="10.28515625" bestFit="1" customWidth="1"/>
    <col min="9" max="9" width="13.85546875" customWidth="1"/>
  </cols>
  <sheetData>
    <row r="1" spans="1:20">
      <c r="A1" s="1636" t="s">
        <v>87</v>
      </c>
      <c r="B1" s="1637"/>
      <c r="C1" s="1637"/>
      <c r="D1" s="1637"/>
      <c r="E1" s="1637"/>
      <c r="F1" s="1637"/>
      <c r="G1" s="1637"/>
      <c r="H1" s="1637"/>
      <c r="I1" s="1637"/>
      <c r="J1" s="1637"/>
      <c r="K1" s="1637"/>
      <c r="L1" s="1637"/>
      <c r="M1" s="1637"/>
    </row>
    <row r="2" spans="1:20">
      <c r="A2" s="1637"/>
      <c r="B2" s="1637"/>
      <c r="C2" s="1637"/>
      <c r="D2" s="1637"/>
      <c r="E2" s="1637"/>
      <c r="F2" s="1637"/>
      <c r="G2" s="1637"/>
      <c r="H2" s="1637"/>
      <c r="I2" s="1637"/>
      <c r="J2" s="1637"/>
      <c r="K2" s="1637"/>
      <c r="L2" s="1637"/>
      <c r="M2" s="1637"/>
    </row>
    <row r="3" spans="1:20" ht="15">
      <c r="A3" s="81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</row>
    <row r="4" spans="1:20" ht="18.75">
      <c r="A4" s="1636" t="s">
        <v>146</v>
      </c>
      <c r="B4" s="1637"/>
      <c r="C4" s="1637"/>
      <c r="D4" s="1637"/>
      <c r="E4" s="1637"/>
      <c r="F4" s="1637"/>
      <c r="G4" s="1637"/>
      <c r="H4" s="1637"/>
      <c r="I4" s="1637"/>
      <c r="J4" s="1637"/>
      <c r="K4" s="1637"/>
      <c r="L4" s="1637"/>
      <c r="M4" s="1637"/>
    </row>
    <row r="5" spans="1:20" ht="18.75">
      <c r="A5" s="1638" t="s">
        <v>391</v>
      </c>
      <c r="B5" s="1638"/>
      <c r="C5" s="1638"/>
      <c r="D5" s="1638"/>
      <c r="E5" s="1638"/>
      <c r="F5" s="1638"/>
      <c r="G5" s="1638"/>
      <c r="H5" s="1638"/>
      <c r="I5" s="1638"/>
      <c r="J5" s="1638"/>
      <c r="K5" s="1638"/>
      <c r="L5" s="1638"/>
      <c r="M5" s="1638"/>
    </row>
    <row r="6" spans="1:20" ht="20.25" customHeight="1" thickBot="1">
      <c r="A6" s="1641" t="s">
        <v>339</v>
      </c>
      <c r="B6" s="1641"/>
      <c r="C6" s="1641"/>
      <c r="D6" s="1641"/>
      <c r="E6" s="1641"/>
      <c r="F6" s="1641"/>
      <c r="G6" s="1641"/>
      <c r="H6" s="1641"/>
      <c r="I6" s="1641"/>
      <c r="J6" s="1641"/>
      <c r="K6" s="1641"/>
      <c r="L6" s="1641"/>
      <c r="M6" s="1641"/>
    </row>
    <row r="7" spans="1:20" ht="30.75" thickBot="1">
      <c r="A7" s="222"/>
      <c r="B7" s="222"/>
      <c r="C7" s="222"/>
      <c r="D7" s="222"/>
      <c r="E7" s="1639" t="s">
        <v>85</v>
      </c>
      <c r="F7" s="1639" t="s">
        <v>138</v>
      </c>
      <c r="G7" s="1639" t="s">
        <v>86</v>
      </c>
      <c r="H7" s="1639" t="s">
        <v>139</v>
      </c>
      <c r="I7" s="596" t="s">
        <v>478</v>
      </c>
      <c r="J7" s="222"/>
      <c r="K7" s="222"/>
      <c r="L7" s="222"/>
      <c r="M7" s="222"/>
    </row>
    <row r="8" spans="1:20" ht="45.75" thickBot="1">
      <c r="D8" s="78"/>
      <c r="E8" s="1640"/>
      <c r="F8" s="1640"/>
      <c r="G8" s="1640"/>
      <c r="H8" s="1640"/>
      <c r="I8" s="596" t="s">
        <v>479</v>
      </c>
      <c r="J8" s="55"/>
      <c r="O8" s="82"/>
      <c r="P8" s="20"/>
      <c r="Q8" s="2"/>
      <c r="R8" s="2"/>
    </row>
    <row r="9" spans="1:20" ht="15.75" thickBot="1">
      <c r="D9" s="111" t="s">
        <v>399</v>
      </c>
      <c r="E9" s="323">
        <f>'XXVI-EE-JI e 1º Ciclo'!B14</f>
        <v>0</v>
      </c>
      <c r="F9" s="597" t="e">
        <f t="shared" ref="F9:F20" si="0">E9/(E9+G9)</f>
        <v>#DIV/0!</v>
      </c>
      <c r="G9" s="323">
        <f>'XXVI-EE-JI e 1º Ciclo'!D14</f>
        <v>0</v>
      </c>
      <c r="H9" s="597" t="e">
        <f t="shared" ref="H9:H14" si="1">G9/(G9+E9)</f>
        <v>#DIV/0!</v>
      </c>
      <c r="I9" s="598"/>
      <c r="J9" s="55"/>
      <c r="O9" s="82"/>
      <c r="P9" s="20"/>
      <c r="Q9" s="2"/>
      <c r="R9" s="2"/>
    </row>
    <row r="10" spans="1:20" ht="15.75" thickBot="1">
      <c r="D10" s="111" t="s">
        <v>352</v>
      </c>
      <c r="E10" s="117"/>
      <c r="F10" s="118" t="e">
        <f t="shared" si="0"/>
        <v>#DIV/0!</v>
      </c>
      <c r="G10" s="117"/>
      <c r="H10" s="118" t="e">
        <f t="shared" si="1"/>
        <v>#DIV/0!</v>
      </c>
      <c r="I10" s="598"/>
      <c r="J10" s="55"/>
      <c r="O10" s="82"/>
      <c r="P10" s="20"/>
      <c r="Q10" s="2"/>
      <c r="R10" s="2"/>
    </row>
    <row r="11" spans="1:20" ht="15.75" thickBot="1">
      <c r="D11" s="111" t="s">
        <v>353</v>
      </c>
      <c r="E11" s="117"/>
      <c r="F11" s="118" t="e">
        <f t="shared" si="0"/>
        <v>#DIV/0!</v>
      </c>
      <c r="G11" s="117"/>
      <c r="H11" s="118" t="e">
        <f t="shared" si="1"/>
        <v>#DIV/0!</v>
      </c>
      <c r="I11" s="598"/>
      <c r="J11" s="55"/>
      <c r="O11" s="82"/>
      <c r="P11" s="20"/>
      <c r="Q11" s="2"/>
      <c r="R11" s="2"/>
    </row>
    <row r="12" spans="1:20" ht="15.75" thickBot="1">
      <c r="D12" s="111" t="s">
        <v>354</v>
      </c>
      <c r="E12" s="117"/>
      <c r="F12" s="118" t="e">
        <f t="shared" si="0"/>
        <v>#DIV/0!</v>
      </c>
      <c r="G12" s="117"/>
      <c r="H12" s="118" t="e">
        <f t="shared" si="1"/>
        <v>#DIV/0!</v>
      </c>
      <c r="I12" s="598"/>
      <c r="J12" s="55"/>
      <c r="O12" s="82"/>
      <c r="P12" s="20"/>
      <c r="Q12" s="2"/>
      <c r="R12" s="2"/>
    </row>
    <row r="13" spans="1:20" ht="15.75" thickBot="1">
      <c r="D13" s="111" t="s">
        <v>355</v>
      </c>
      <c r="E13" s="117"/>
      <c r="F13" s="118" t="e">
        <f t="shared" si="0"/>
        <v>#DIV/0!</v>
      </c>
      <c r="G13" s="117"/>
      <c r="H13" s="118" t="e">
        <f t="shared" si="1"/>
        <v>#DIV/0!</v>
      </c>
      <c r="I13" s="598"/>
      <c r="J13" s="55"/>
      <c r="O13" s="82"/>
      <c r="P13" s="20"/>
      <c r="Q13" s="2"/>
      <c r="R13" s="2"/>
    </row>
    <row r="14" spans="1:20" ht="15.75" thickBot="1">
      <c r="D14" s="111" t="s">
        <v>88</v>
      </c>
      <c r="E14" s="117">
        <f>'XXVII-EE 2º Ciclo'!C12</f>
        <v>106</v>
      </c>
      <c r="F14" s="118">
        <f t="shared" si="0"/>
        <v>0.85483870967741937</v>
      </c>
      <c r="G14" s="117">
        <f>'XXVII-EE 2º Ciclo'!E12</f>
        <v>18</v>
      </c>
      <c r="H14" s="118">
        <f t="shared" si="1"/>
        <v>0.14516129032258066</v>
      </c>
      <c r="I14" s="598"/>
      <c r="J14" s="55"/>
      <c r="N14" s="70"/>
      <c r="O14" s="79"/>
      <c r="P14" s="80"/>
      <c r="Q14" s="7"/>
      <c r="R14" s="7"/>
      <c r="S14" s="70"/>
      <c r="T14" s="7"/>
    </row>
    <row r="15" spans="1:20" ht="15.75" thickBot="1">
      <c r="D15" s="111" t="s">
        <v>89</v>
      </c>
      <c r="E15" s="117">
        <f>'XXVII-EE 2º Ciclo'!C43</f>
        <v>110</v>
      </c>
      <c r="F15" s="118">
        <f t="shared" si="0"/>
        <v>0.7432432432432432</v>
      </c>
      <c r="G15" s="117">
        <f>'XXVII-EE 2º Ciclo'!E43</f>
        <v>38</v>
      </c>
      <c r="H15" s="118">
        <f t="shared" ref="H15:H20" si="2">G15/(G15+E15)</f>
        <v>0.25675675675675674</v>
      </c>
      <c r="I15" s="598"/>
      <c r="J15" s="55"/>
      <c r="N15" s="70"/>
      <c r="O15" s="79"/>
      <c r="P15" s="80"/>
      <c r="Q15" s="7"/>
      <c r="R15" s="7"/>
      <c r="S15" s="19"/>
      <c r="T15" s="19"/>
    </row>
    <row r="16" spans="1:20" ht="15.75" thickBot="1">
      <c r="D16" s="111" t="s">
        <v>90</v>
      </c>
      <c r="E16" s="117">
        <f>'XXVIII-EE 3º Ciclo'!B13</f>
        <v>133</v>
      </c>
      <c r="F16" s="118">
        <f t="shared" si="0"/>
        <v>0.82608695652173914</v>
      </c>
      <c r="G16" s="117">
        <f>'XXVIII-EE 3º Ciclo'!D13</f>
        <v>28</v>
      </c>
      <c r="H16" s="118">
        <f t="shared" si="2"/>
        <v>0.17391304347826086</v>
      </c>
      <c r="I16" s="598"/>
      <c r="J16" s="55"/>
      <c r="N16" s="70"/>
      <c r="O16" s="79"/>
      <c r="P16" s="80"/>
      <c r="Q16" s="7"/>
      <c r="R16" s="7"/>
      <c r="S16" s="19"/>
      <c r="T16" s="19"/>
    </row>
    <row r="17" spans="1:20" ht="15.75" thickBot="1">
      <c r="D17" s="111" t="s">
        <v>91</v>
      </c>
      <c r="E17" s="117">
        <f>'XXVIII-EE 3º Ciclo'!B24</f>
        <v>89</v>
      </c>
      <c r="F17" s="118">
        <f t="shared" si="0"/>
        <v>0.87254901960784315</v>
      </c>
      <c r="G17" s="117">
        <f>'XXVIII-EE 3º Ciclo'!D24</f>
        <v>13</v>
      </c>
      <c r="H17" s="118">
        <f t="shared" si="2"/>
        <v>0.12745098039215685</v>
      </c>
      <c r="I17" s="598"/>
      <c r="J17" s="55"/>
      <c r="O17" s="2"/>
      <c r="P17" s="7"/>
      <c r="Q17" s="7"/>
      <c r="R17" s="7"/>
      <c r="S17" s="19"/>
      <c r="T17" s="19"/>
    </row>
    <row r="18" spans="1:20" ht="15.75" thickBot="1">
      <c r="D18" s="111" t="s">
        <v>92</v>
      </c>
      <c r="E18" s="117">
        <f>'XXVIII-EE 3º Ciclo'!B34</f>
        <v>74</v>
      </c>
      <c r="F18" s="118">
        <f t="shared" si="0"/>
        <v>0.84090909090909094</v>
      </c>
      <c r="G18" s="117">
        <f>'XXVIII-EE 3º Ciclo'!D34</f>
        <v>14</v>
      </c>
      <c r="H18" s="118">
        <f t="shared" si="2"/>
        <v>0.15909090909090909</v>
      </c>
      <c r="I18" s="598"/>
      <c r="J18" s="55"/>
      <c r="O18" s="2"/>
      <c r="P18" s="7"/>
      <c r="Q18" s="7"/>
      <c r="R18" s="7"/>
      <c r="S18" s="19"/>
      <c r="T18" s="19"/>
    </row>
    <row r="19" spans="1:20" ht="15.75" thickBot="1">
      <c r="D19" s="111" t="s">
        <v>93</v>
      </c>
      <c r="E19" s="117">
        <f>'XXVIII-EE 3º Ciclo'!B44</f>
        <v>21</v>
      </c>
      <c r="F19" s="118">
        <f t="shared" si="0"/>
        <v>0.7</v>
      </c>
      <c r="G19" s="117">
        <f>'XXVIII-EE 3º Ciclo'!D44</f>
        <v>9</v>
      </c>
      <c r="H19" s="118">
        <f t="shared" si="2"/>
        <v>0.3</v>
      </c>
      <c r="I19" s="598"/>
      <c r="J19" s="55"/>
      <c r="O19" s="2"/>
      <c r="P19" s="7"/>
      <c r="Q19" s="7"/>
      <c r="R19" s="7"/>
      <c r="S19" s="19"/>
      <c r="T19" s="19"/>
    </row>
    <row r="20" spans="1:20" ht="18.75" thickBot="1">
      <c r="D20" s="119" t="s">
        <v>0</v>
      </c>
      <c r="E20" s="120">
        <f>SUM(E14:E19)</f>
        <v>533</v>
      </c>
      <c r="F20" s="118">
        <f t="shared" si="0"/>
        <v>0.81623277182235832</v>
      </c>
      <c r="G20" s="120">
        <f>SUM(G14:G19)</f>
        <v>120</v>
      </c>
      <c r="H20" s="118">
        <f t="shared" si="2"/>
        <v>0.18376722817764166</v>
      </c>
      <c r="I20" s="598"/>
      <c r="J20" s="55"/>
      <c r="O20" s="2"/>
      <c r="P20" s="7"/>
      <c r="Q20" s="7"/>
      <c r="R20" s="7"/>
      <c r="S20" s="19"/>
      <c r="T20" s="19"/>
    </row>
    <row r="21" spans="1:20">
      <c r="F21" s="55"/>
      <c r="G21" s="55"/>
      <c r="H21" s="55"/>
      <c r="I21" s="55"/>
      <c r="J21" s="55"/>
      <c r="O21" s="2"/>
      <c r="P21" s="2"/>
      <c r="Q21" s="2"/>
      <c r="R21" s="2"/>
    </row>
    <row r="22" spans="1:20" ht="15" thickBot="1">
      <c r="A22" s="78"/>
      <c r="B22" s="78"/>
      <c r="C22" s="78"/>
      <c r="D22" s="78"/>
      <c r="J22" s="55"/>
    </row>
    <row r="23" spans="1:20" ht="15.75" thickBot="1">
      <c r="A23" s="55"/>
      <c r="B23" s="55"/>
      <c r="C23" s="55"/>
      <c r="D23" s="78"/>
      <c r="E23" s="110" t="s">
        <v>85</v>
      </c>
      <c r="F23" s="110" t="s">
        <v>138</v>
      </c>
      <c r="G23" s="110" t="s">
        <v>86</v>
      </c>
      <c r="H23" s="110" t="s">
        <v>139</v>
      </c>
      <c r="J23" s="55"/>
    </row>
    <row r="24" spans="1:20" ht="15.75" thickBot="1">
      <c r="A24" s="55"/>
      <c r="B24" s="78"/>
      <c r="C24" s="78"/>
      <c r="D24" s="111" t="s">
        <v>143</v>
      </c>
      <c r="E24" s="117">
        <f>14+23+20+24+12+21+15+15+17+21+7+14+20+12+16+22+20+18+13+7+13+17+12+14+8+15+14+8+8+8+4</f>
        <v>452</v>
      </c>
      <c r="F24" s="118">
        <f>E24/(E24+G24)</f>
        <v>0.64204545454545459</v>
      </c>
      <c r="G24" s="117">
        <f>14+5+8+3+9+7+5+5+9+5+7+10+7+16+3+4+8+10+7+17+11+7+6+11+17+8+6+9+7+6+5</f>
        <v>252</v>
      </c>
      <c r="H24" s="118">
        <f>G24/(G24+E24)</f>
        <v>0.35795454545454547</v>
      </c>
      <c r="J24" s="55"/>
    </row>
    <row r="25" spans="1:20" ht="15.75" thickBot="1">
      <c r="A25" s="55"/>
      <c r="B25" s="78"/>
      <c r="C25" s="78"/>
      <c r="D25" s="111" t="s">
        <v>140</v>
      </c>
      <c r="E25" s="117">
        <v>437</v>
      </c>
      <c r="F25" s="118">
        <f>E25/(E25+G25)</f>
        <v>0.63982430453879946</v>
      </c>
      <c r="G25" s="117">
        <v>246</v>
      </c>
      <c r="H25" s="118">
        <f>G25/(G25+E25)</f>
        <v>0.3601756954612006</v>
      </c>
      <c r="J25" s="55"/>
      <c r="N25" s="7"/>
      <c r="O25" s="7"/>
      <c r="P25" s="7"/>
      <c r="Q25" s="70"/>
      <c r="R25" s="7"/>
    </row>
    <row r="26" spans="1:20" ht="15.75" thickBot="1">
      <c r="A26" s="55"/>
      <c r="B26" s="55"/>
      <c r="C26" s="55"/>
      <c r="D26" s="111" t="s">
        <v>141</v>
      </c>
      <c r="E26" s="117">
        <v>447</v>
      </c>
      <c r="F26" s="118">
        <f>E26/(E26+G26)</f>
        <v>0.65350877192982459</v>
      </c>
      <c r="G26" s="117">
        <v>237</v>
      </c>
      <c r="H26" s="118">
        <f>G26/(G26+E26)</f>
        <v>0.34649122807017546</v>
      </c>
      <c r="J26" s="55"/>
      <c r="N26" s="7"/>
      <c r="O26" s="7"/>
      <c r="P26" s="7"/>
      <c r="Q26" s="19"/>
      <c r="R26" s="19"/>
    </row>
    <row r="27" spans="1:20" ht="15.75" thickBot="1">
      <c r="A27" s="55"/>
      <c r="B27" s="55"/>
      <c r="C27" s="55"/>
      <c r="D27" s="111" t="s">
        <v>142</v>
      </c>
      <c r="E27" s="117">
        <f>E20</f>
        <v>533</v>
      </c>
      <c r="F27" s="118">
        <f>E27/(E27+G27)</f>
        <v>0.81623277182235832</v>
      </c>
      <c r="G27" s="117">
        <f>G20</f>
        <v>120</v>
      </c>
      <c r="H27" s="118">
        <f>G27/(G27+E27)</f>
        <v>0.18376722817764166</v>
      </c>
      <c r="J27" s="55"/>
      <c r="N27" s="7"/>
      <c r="O27" s="7"/>
      <c r="P27" s="7"/>
      <c r="Q27" s="19"/>
      <c r="R27" s="19"/>
    </row>
    <row r="28" spans="1:20" ht="18.75" thickBot="1">
      <c r="A28" s="55"/>
      <c r="B28" s="55"/>
      <c r="C28" s="55"/>
      <c r="D28" s="339" t="s">
        <v>0</v>
      </c>
      <c r="E28" s="340">
        <f>SUM(E24:E27)</f>
        <v>1869</v>
      </c>
      <c r="F28" s="341">
        <f>E28/(E28+G28)</f>
        <v>0.68612334801762109</v>
      </c>
      <c r="G28" s="340">
        <f>SUM(G24:G27)</f>
        <v>855</v>
      </c>
      <c r="H28" s="341">
        <f>G28/(G28+E28)</f>
        <v>0.31387665198237885</v>
      </c>
      <c r="I28" s="55"/>
      <c r="J28" s="55"/>
      <c r="N28" s="7"/>
      <c r="O28" s="7"/>
      <c r="P28" s="7"/>
      <c r="Q28" s="19"/>
      <c r="R28" s="19"/>
    </row>
    <row r="29" spans="1:20" ht="14.25">
      <c r="A29" s="55"/>
      <c r="B29" s="55"/>
      <c r="C29" s="55"/>
      <c r="D29" s="55"/>
      <c r="E29" s="55"/>
      <c r="F29" s="55"/>
      <c r="G29" s="55"/>
      <c r="H29" s="55"/>
      <c r="I29" s="55"/>
      <c r="J29" s="55"/>
      <c r="N29" s="7"/>
      <c r="O29" s="7"/>
      <c r="P29" s="7"/>
      <c r="Q29" s="19"/>
      <c r="R29" s="19"/>
    </row>
    <row r="30" spans="1:20" ht="14.25">
      <c r="A30" s="55"/>
      <c r="B30" s="55"/>
      <c r="C30" s="55"/>
      <c r="D30" s="55"/>
      <c r="E30" s="55"/>
      <c r="F30" s="55"/>
      <c r="G30" s="55"/>
      <c r="H30" s="55"/>
      <c r="I30" s="55"/>
      <c r="J30" s="55"/>
      <c r="N30" s="7"/>
      <c r="O30" s="7"/>
      <c r="P30" s="7"/>
      <c r="Q30" s="19"/>
      <c r="R30" s="19"/>
    </row>
    <row r="31" spans="1:20" ht="14.25">
      <c r="A31" s="55"/>
      <c r="B31" s="55"/>
      <c r="C31" s="55"/>
      <c r="D31" s="55"/>
      <c r="E31" s="55"/>
      <c r="F31" s="55"/>
      <c r="G31" s="55"/>
      <c r="H31" s="55"/>
      <c r="I31" s="55"/>
      <c r="J31" s="55"/>
      <c r="N31" s="7"/>
      <c r="O31" s="7"/>
      <c r="P31" s="7"/>
      <c r="Q31" s="19"/>
      <c r="R31" s="19"/>
    </row>
    <row r="32" spans="1:20">
      <c r="A32" s="55"/>
      <c r="B32" s="55"/>
      <c r="C32" s="55"/>
      <c r="D32" s="55"/>
      <c r="E32" s="55"/>
      <c r="F32" s="55"/>
      <c r="G32" s="55"/>
      <c r="H32" s="55"/>
      <c r="I32" s="55"/>
      <c r="J32" s="55"/>
    </row>
    <row r="33" spans="1:10">
      <c r="A33" s="55"/>
      <c r="B33" s="55"/>
      <c r="C33" s="55"/>
      <c r="D33" s="55"/>
      <c r="E33" s="55"/>
      <c r="F33" s="55"/>
      <c r="G33" s="55"/>
      <c r="H33" s="55"/>
      <c r="I33" s="55"/>
      <c r="J33" s="55"/>
    </row>
    <row r="34" spans="1:10">
      <c r="A34" s="55"/>
      <c r="B34" s="55"/>
      <c r="C34" s="55"/>
      <c r="D34" s="55"/>
      <c r="E34" s="55"/>
      <c r="F34" s="55"/>
      <c r="G34" s="55"/>
      <c r="H34" s="55"/>
      <c r="I34" s="55"/>
      <c r="J34" s="55"/>
    </row>
    <row r="35" spans="1:10">
      <c r="A35" s="55"/>
      <c r="B35" s="55"/>
      <c r="C35" s="55"/>
      <c r="D35" s="55"/>
      <c r="E35" s="55"/>
      <c r="F35" s="55"/>
      <c r="G35" s="55"/>
      <c r="H35" s="55"/>
      <c r="I35" s="55"/>
      <c r="J35" s="55"/>
    </row>
    <row r="36" spans="1:10">
      <c r="A36" s="55"/>
      <c r="B36" s="55"/>
      <c r="C36" s="55"/>
      <c r="D36" s="55"/>
      <c r="E36" s="55"/>
      <c r="F36" s="55"/>
      <c r="G36" s="55"/>
      <c r="H36" s="55"/>
      <c r="I36" s="55"/>
      <c r="J36" s="55"/>
    </row>
    <row r="37" spans="1:10">
      <c r="A37" s="55"/>
      <c r="B37" s="55"/>
      <c r="C37" s="55"/>
      <c r="D37" s="55"/>
      <c r="E37" s="55"/>
      <c r="F37" s="55"/>
      <c r="G37" s="55"/>
      <c r="H37" s="55"/>
      <c r="I37" s="55"/>
      <c r="J37" s="55"/>
    </row>
    <row r="38" spans="1:10">
      <c r="A38" s="55"/>
      <c r="B38" s="55"/>
      <c r="C38" s="55"/>
      <c r="D38" s="55"/>
      <c r="E38" s="55"/>
      <c r="F38" s="55"/>
      <c r="G38" s="55"/>
      <c r="H38" s="55"/>
      <c r="I38" s="55"/>
      <c r="J38" s="55"/>
    </row>
    <row r="39" spans="1:10">
      <c r="A39" s="55"/>
      <c r="B39" s="55"/>
      <c r="C39" s="55"/>
      <c r="D39" s="55"/>
      <c r="E39" s="55"/>
      <c r="F39" s="55"/>
      <c r="G39" s="55"/>
      <c r="H39" s="55"/>
      <c r="I39" s="55"/>
      <c r="J39" s="55"/>
    </row>
    <row r="40" spans="1:10">
      <c r="A40" s="55"/>
      <c r="B40" s="55"/>
      <c r="C40" s="55"/>
      <c r="D40" s="55"/>
      <c r="E40" s="55"/>
      <c r="F40" s="55"/>
      <c r="G40" s="55"/>
      <c r="H40" s="55"/>
      <c r="I40" s="55"/>
      <c r="J40" s="55"/>
    </row>
    <row r="41" spans="1:10">
      <c r="A41" s="55"/>
      <c r="B41" s="55"/>
      <c r="C41" s="55"/>
      <c r="D41" s="55"/>
      <c r="E41" s="55"/>
      <c r="F41" s="55"/>
      <c r="G41" s="55"/>
      <c r="H41" s="55"/>
      <c r="I41" s="55"/>
      <c r="J41" s="55"/>
    </row>
    <row r="42" spans="1:10">
      <c r="A42" s="55"/>
      <c r="B42" s="55"/>
      <c r="C42" s="55"/>
      <c r="D42" s="55"/>
      <c r="E42" s="55"/>
      <c r="F42" s="55"/>
      <c r="G42" s="55"/>
      <c r="H42" s="55"/>
      <c r="I42" s="55"/>
      <c r="J42" s="55"/>
    </row>
    <row r="43" spans="1:10">
      <c r="A43" s="55"/>
      <c r="B43" s="55"/>
      <c r="C43" s="55"/>
      <c r="D43" s="55"/>
      <c r="E43" s="55"/>
      <c r="F43" s="55"/>
      <c r="G43" s="55"/>
      <c r="H43" s="55"/>
      <c r="I43" s="55"/>
      <c r="J43" s="55"/>
    </row>
    <row r="44" spans="1:10">
      <c r="A44" s="55"/>
      <c r="B44" s="55"/>
      <c r="C44" s="55"/>
      <c r="D44" s="55"/>
      <c r="E44" s="55"/>
      <c r="F44" s="55"/>
      <c r="G44" s="55"/>
      <c r="H44" s="55"/>
      <c r="I44" s="55"/>
      <c r="J44" s="55"/>
    </row>
    <row r="45" spans="1:10">
      <c r="A45" s="55"/>
      <c r="B45" s="55"/>
      <c r="C45" s="55"/>
      <c r="D45" s="55"/>
      <c r="E45" s="55"/>
      <c r="F45" s="55"/>
      <c r="G45" s="55"/>
      <c r="H45" s="55"/>
      <c r="I45" s="55"/>
      <c r="J45" s="55"/>
    </row>
    <row r="46" spans="1:10">
      <c r="A46" s="55"/>
      <c r="B46" s="55"/>
      <c r="C46" s="55"/>
      <c r="D46" s="55"/>
      <c r="E46" s="55"/>
      <c r="F46" s="55"/>
      <c r="G46" s="55"/>
      <c r="H46" s="55"/>
      <c r="I46" s="55"/>
      <c r="J46" s="55"/>
    </row>
    <row r="47" spans="1:10">
      <c r="A47" s="55"/>
      <c r="B47" s="55"/>
      <c r="C47" s="55"/>
      <c r="D47" s="55"/>
      <c r="E47" s="55"/>
      <c r="F47" s="55"/>
      <c r="G47" s="55"/>
      <c r="H47" s="55"/>
      <c r="I47" s="55"/>
      <c r="J47" s="55"/>
    </row>
    <row r="48" spans="1:10">
      <c r="A48" s="55"/>
      <c r="B48" s="55"/>
      <c r="C48" s="55"/>
      <c r="D48" s="55"/>
      <c r="E48" s="55"/>
      <c r="F48" s="55"/>
      <c r="G48" s="55"/>
      <c r="H48" s="55"/>
      <c r="I48" s="55"/>
      <c r="J48" s="55"/>
    </row>
    <row r="49" spans="1:10">
      <c r="A49" s="55"/>
      <c r="B49" s="55"/>
      <c r="C49" s="55"/>
      <c r="D49" s="55"/>
      <c r="E49" s="55"/>
      <c r="F49" s="55"/>
      <c r="G49" s="55"/>
      <c r="H49" s="55"/>
      <c r="I49" s="55"/>
      <c r="J49" s="55"/>
    </row>
    <row r="50" spans="1:10">
      <c r="A50" s="55"/>
      <c r="B50" s="55"/>
      <c r="C50" s="55"/>
      <c r="D50" s="55"/>
      <c r="E50" s="55"/>
      <c r="F50" s="55"/>
      <c r="G50" s="55"/>
      <c r="H50" s="55"/>
      <c r="I50" s="55"/>
      <c r="J50" s="55"/>
    </row>
    <row r="51" spans="1:10">
      <c r="A51" s="55"/>
      <c r="B51" s="55"/>
      <c r="C51" s="55"/>
      <c r="D51" s="55"/>
      <c r="E51" s="55"/>
      <c r="F51" s="55"/>
      <c r="G51" s="55"/>
      <c r="H51" s="55"/>
      <c r="I51" s="55"/>
      <c r="J51" s="55"/>
    </row>
    <row r="52" spans="1:10">
      <c r="A52" s="55"/>
      <c r="B52" s="55"/>
      <c r="C52" s="55"/>
      <c r="D52" s="55"/>
      <c r="E52" s="55"/>
      <c r="F52" s="55"/>
      <c r="G52" s="55"/>
      <c r="H52" s="55"/>
      <c r="I52" s="55"/>
      <c r="J52" s="55"/>
    </row>
    <row r="53" spans="1:10">
      <c r="A53" s="55"/>
      <c r="B53" s="55"/>
      <c r="C53" s="55"/>
      <c r="D53" s="55"/>
      <c r="E53" s="55"/>
      <c r="F53" s="55"/>
      <c r="G53" s="55"/>
      <c r="H53" s="55"/>
      <c r="I53" s="55"/>
      <c r="J53" s="55"/>
    </row>
    <row r="54" spans="1:10">
      <c r="A54" s="55"/>
      <c r="B54" s="55"/>
      <c r="C54" s="55"/>
      <c r="D54" s="55"/>
      <c r="E54" s="55"/>
      <c r="F54" s="55"/>
      <c r="G54" s="55"/>
      <c r="H54" s="55"/>
      <c r="I54" s="55"/>
      <c r="J54" s="55"/>
    </row>
    <row r="55" spans="1:10">
      <c r="A55" s="55"/>
      <c r="B55" s="55"/>
      <c r="C55" s="55"/>
      <c r="D55" s="55"/>
      <c r="E55" s="55"/>
      <c r="F55" s="55"/>
      <c r="G55" s="55"/>
      <c r="H55" s="55"/>
      <c r="I55" s="55"/>
      <c r="J55" s="55"/>
    </row>
    <row r="56" spans="1:10">
      <c r="A56" s="55"/>
      <c r="B56" s="55"/>
      <c r="C56" s="55"/>
      <c r="D56" s="55"/>
      <c r="E56" s="55"/>
      <c r="F56" s="55"/>
      <c r="G56" s="55"/>
      <c r="H56" s="55"/>
      <c r="I56" s="55"/>
      <c r="J56" s="55"/>
    </row>
    <row r="57" spans="1:10">
      <c r="A57" s="55"/>
      <c r="B57" s="55"/>
      <c r="C57" s="55"/>
      <c r="D57" s="55"/>
      <c r="E57" s="55"/>
      <c r="F57" s="55"/>
      <c r="G57" s="55"/>
      <c r="H57" s="55"/>
      <c r="I57" s="55"/>
      <c r="J57" s="55"/>
    </row>
    <row r="58" spans="1:10">
      <c r="A58" s="55"/>
      <c r="B58" s="55"/>
      <c r="C58" s="55"/>
      <c r="D58" s="55"/>
      <c r="E58" s="55"/>
      <c r="F58" s="55"/>
      <c r="G58" s="55"/>
      <c r="H58" s="55"/>
      <c r="I58" s="55"/>
      <c r="J58" s="55"/>
    </row>
    <row r="59" spans="1:10">
      <c r="A59" s="55"/>
      <c r="B59" s="55"/>
      <c r="C59" s="55"/>
      <c r="D59" s="55"/>
      <c r="E59" s="55"/>
      <c r="F59" s="55"/>
      <c r="G59" s="55"/>
      <c r="H59" s="55"/>
      <c r="I59" s="55"/>
      <c r="J59" s="55"/>
    </row>
    <row r="60" spans="1:10">
      <c r="A60" s="55"/>
      <c r="B60" s="55"/>
      <c r="C60" s="55"/>
      <c r="D60" s="55"/>
      <c r="E60" s="55"/>
      <c r="F60" s="55"/>
      <c r="G60" s="55"/>
      <c r="H60" s="55"/>
      <c r="I60" s="55"/>
      <c r="J60" s="55"/>
    </row>
    <row r="61" spans="1:10">
      <c r="A61" s="55"/>
      <c r="B61" s="55"/>
      <c r="C61" s="55"/>
      <c r="D61" s="55"/>
      <c r="E61" s="55"/>
      <c r="F61" s="55"/>
      <c r="G61" s="55"/>
      <c r="H61" s="55"/>
      <c r="I61" s="55"/>
      <c r="J61" s="55"/>
    </row>
    <row r="62" spans="1:10">
      <c r="A62" s="55"/>
      <c r="B62" s="55"/>
      <c r="C62" s="55"/>
      <c r="D62" s="55"/>
      <c r="E62" s="55"/>
      <c r="F62" s="55"/>
      <c r="G62" s="55"/>
      <c r="H62" s="55"/>
      <c r="I62" s="55"/>
      <c r="J62" s="55"/>
    </row>
    <row r="63" spans="1:10">
      <c r="A63" s="55"/>
      <c r="B63" s="55"/>
      <c r="C63" s="55"/>
      <c r="D63" s="55"/>
      <c r="E63" s="55"/>
      <c r="F63" s="55"/>
      <c r="G63" s="55"/>
      <c r="H63" s="55"/>
      <c r="I63" s="55"/>
      <c r="J63" s="55"/>
    </row>
    <row r="64" spans="1:10">
      <c r="A64" s="55"/>
      <c r="B64" s="55"/>
      <c r="C64" s="55"/>
      <c r="D64" s="55"/>
      <c r="E64" s="55"/>
      <c r="F64" s="55"/>
      <c r="G64" s="55"/>
      <c r="H64" s="55"/>
      <c r="I64" s="55"/>
      <c r="J64" s="55"/>
    </row>
    <row r="65" spans="1:10">
      <c r="A65" s="55"/>
      <c r="B65" s="55"/>
      <c r="C65" s="55"/>
      <c r="D65" s="55"/>
      <c r="E65" s="55"/>
      <c r="F65" s="55"/>
      <c r="G65" s="55"/>
      <c r="H65" s="55"/>
      <c r="I65" s="55"/>
      <c r="J65" s="55"/>
    </row>
    <row r="66" spans="1:10">
      <c r="A66" s="55"/>
      <c r="B66" s="55"/>
      <c r="C66" s="55"/>
      <c r="D66" s="55"/>
      <c r="E66" s="55"/>
      <c r="F66" s="55"/>
      <c r="G66" s="55"/>
      <c r="H66" s="55"/>
      <c r="I66" s="55"/>
      <c r="J66" s="55"/>
    </row>
    <row r="67" spans="1:10">
      <c r="A67" s="55"/>
      <c r="B67" s="55"/>
      <c r="C67" s="55"/>
      <c r="D67" s="55"/>
      <c r="E67" s="55"/>
      <c r="F67" s="55"/>
      <c r="G67" s="55"/>
      <c r="H67" s="55"/>
      <c r="I67" s="55"/>
      <c r="J67" s="55"/>
    </row>
    <row r="68" spans="1:10">
      <c r="A68" s="55"/>
      <c r="B68" s="55"/>
      <c r="C68" s="55"/>
      <c r="D68" s="55"/>
      <c r="E68" s="55"/>
      <c r="F68" s="55"/>
      <c r="G68" s="55"/>
      <c r="H68" s="55"/>
      <c r="I68" s="55"/>
      <c r="J68" s="55"/>
    </row>
    <row r="69" spans="1:10">
      <c r="A69" s="55"/>
      <c r="B69" s="55"/>
      <c r="C69" s="55"/>
      <c r="D69" s="55"/>
      <c r="E69" s="55"/>
      <c r="F69" s="55"/>
      <c r="G69" s="55"/>
      <c r="H69" s="55"/>
      <c r="I69" s="55"/>
      <c r="J69" s="55"/>
    </row>
    <row r="70" spans="1:10">
      <c r="A70" s="55"/>
      <c r="B70" s="55"/>
      <c r="C70" s="55"/>
      <c r="D70" s="55"/>
      <c r="E70" s="55"/>
      <c r="F70" s="55"/>
      <c r="G70" s="55"/>
      <c r="H70" s="55"/>
      <c r="I70" s="55"/>
      <c r="J70" s="55"/>
    </row>
    <row r="71" spans="1:10">
      <c r="A71" s="55"/>
      <c r="B71" s="55"/>
      <c r="C71" s="55"/>
      <c r="D71" s="55"/>
      <c r="E71" s="55"/>
      <c r="F71" s="55"/>
      <c r="G71" s="55"/>
      <c r="H71" s="55"/>
      <c r="I71" s="55"/>
      <c r="J71" s="55"/>
    </row>
    <row r="72" spans="1:10">
      <c r="A72" s="55"/>
      <c r="B72" s="55"/>
      <c r="C72" s="55"/>
      <c r="D72" s="55"/>
      <c r="E72" s="55"/>
      <c r="F72" s="55"/>
      <c r="G72" s="55"/>
      <c r="H72" s="55"/>
      <c r="I72" s="55"/>
      <c r="J72" s="55"/>
    </row>
    <row r="73" spans="1:10">
      <c r="A73" s="55"/>
      <c r="B73" s="55"/>
      <c r="C73" s="55"/>
      <c r="D73" s="55"/>
      <c r="E73" s="55"/>
      <c r="F73" s="55"/>
      <c r="G73" s="55"/>
      <c r="H73" s="55"/>
      <c r="I73" s="55"/>
      <c r="J73" s="55"/>
    </row>
    <row r="74" spans="1:10">
      <c r="A74" s="55"/>
      <c r="B74" s="55"/>
      <c r="C74" s="55"/>
      <c r="D74" s="55"/>
      <c r="E74" s="55"/>
      <c r="F74" s="55"/>
      <c r="G74" s="55"/>
      <c r="H74" s="55"/>
      <c r="I74" s="55"/>
      <c r="J74" s="55"/>
    </row>
  </sheetData>
  <mergeCells count="8">
    <mergeCell ref="A1:M2"/>
    <mergeCell ref="A4:M4"/>
    <mergeCell ref="A5:M5"/>
    <mergeCell ref="H7:H8"/>
    <mergeCell ref="G7:G8"/>
    <mergeCell ref="F7:F8"/>
    <mergeCell ref="E7:E8"/>
    <mergeCell ref="A6:M6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useFirstPageNumber="1" r:id="rId1"/>
  <headerFooter>
    <oddHeader>&amp;L&amp;"Trebuchet MS,Negrito"&amp;12&amp;K01+018AGRUPAMENTO DE ESCOLAS MIGUEL TORGA&amp;C
&amp;R&amp;"Trebuchet MS,Negrito itálico"&amp;12AUTO - AVALIAÇÃO
2ºPeríodo  2011/12
Tabela XXVII</oddHeader>
    <oddFooter>&amp;C
&amp;R27</oddFooter>
  </headerFooter>
  <ignoredErrors>
    <ignoredError sqref="F15:F19 H15:H20 F14 H14" evalError="1"/>
    <ignoredError sqref="F20" evalError="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Y43"/>
  <sheetViews>
    <sheetView showGridLines="0" zoomScaleSheetLayoutView="50" zoomScalePageLayoutView="54" workbookViewId="0">
      <selection activeCell="N13" sqref="N13:P13"/>
    </sheetView>
  </sheetViews>
  <sheetFormatPr defaultRowHeight="12.75"/>
  <cols>
    <col min="1" max="2" width="8" customWidth="1"/>
    <col min="3" max="12" width="7.85546875" customWidth="1"/>
    <col min="13" max="13" width="9.42578125" customWidth="1"/>
    <col min="14" max="16" width="11.140625" customWidth="1"/>
    <col min="17" max="19" width="7.28515625" customWidth="1"/>
    <col min="20" max="20" width="12.85546875" customWidth="1"/>
    <col min="21" max="21" width="13.85546875" customWidth="1"/>
  </cols>
  <sheetData>
    <row r="1" spans="1:19" ht="12.75" customHeight="1">
      <c r="A1" s="1277" t="s">
        <v>116</v>
      </c>
      <c r="B1" s="1277"/>
      <c r="C1" s="1277"/>
      <c r="D1" s="1277"/>
      <c r="E1" s="1277"/>
      <c r="F1" s="1277"/>
      <c r="G1" s="1277"/>
      <c r="H1" s="1277"/>
      <c r="I1" s="1277"/>
      <c r="J1" s="1277"/>
      <c r="K1" s="1277"/>
      <c r="L1" s="1277"/>
      <c r="M1" s="1277"/>
    </row>
    <row r="2" spans="1:19" ht="12.75" customHeight="1">
      <c r="A2" s="1277"/>
      <c r="B2" s="1277"/>
      <c r="C2" s="1277"/>
      <c r="D2" s="1277"/>
      <c r="E2" s="1277"/>
      <c r="F2" s="1277"/>
      <c r="G2" s="1277"/>
      <c r="H2" s="1277"/>
      <c r="I2" s="1277"/>
      <c r="J2" s="1277"/>
      <c r="K2" s="1277"/>
      <c r="L2" s="1277"/>
      <c r="M2" s="1277"/>
    </row>
    <row r="3" spans="1:19" ht="15" customHeight="1">
      <c r="A3" s="1277" t="s">
        <v>491</v>
      </c>
      <c r="B3" s="1277"/>
      <c r="C3" s="1277"/>
      <c r="D3" s="1277"/>
      <c r="E3" s="1277"/>
      <c r="F3" s="1277"/>
      <c r="G3" s="1277"/>
      <c r="H3" s="1277"/>
      <c r="I3" s="1277"/>
      <c r="J3" s="1277"/>
      <c r="K3" s="1277"/>
      <c r="L3" s="1277"/>
      <c r="M3" s="1277"/>
      <c r="N3" s="763"/>
      <c r="O3" s="763"/>
      <c r="P3" s="763"/>
      <c r="Q3" s="763"/>
      <c r="R3" s="763"/>
      <c r="S3" s="763"/>
    </row>
    <row r="4" spans="1:19" ht="12.75" customHeight="1">
      <c r="A4" s="1277"/>
      <c r="B4" s="1277"/>
      <c r="C4" s="1277"/>
      <c r="D4" s="1277"/>
      <c r="E4" s="1277"/>
      <c r="F4" s="1277"/>
      <c r="G4" s="1277"/>
      <c r="H4" s="1277"/>
      <c r="I4" s="1277"/>
      <c r="J4" s="1277"/>
      <c r="K4" s="1277"/>
      <c r="L4" s="1277"/>
      <c r="M4" s="1277"/>
      <c r="N4" s="763"/>
      <c r="O4" s="763"/>
      <c r="P4" s="763"/>
      <c r="Q4" s="763"/>
      <c r="R4" s="763"/>
      <c r="S4" s="763"/>
    </row>
    <row r="5" spans="1:19" ht="12.75" customHeight="1" thickBot="1"/>
    <row r="6" spans="1:19" ht="17.25" customHeight="1" thickBot="1">
      <c r="A6" s="83"/>
      <c r="B6" s="105" t="s">
        <v>7</v>
      </c>
      <c r="C6" s="1278" t="s">
        <v>94</v>
      </c>
      <c r="D6" s="1279"/>
      <c r="E6" s="1278" t="s">
        <v>95</v>
      </c>
      <c r="F6" s="1279"/>
      <c r="G6" s="1278" t="s">
        <v>96</v>
      </c>
      <c r="H6" s="1279"/>
      <c r="I6" s="1278" t="s">
        <v>532</v>
      </c>
      <c r="J6" s="1279"/>
      <c r="K6" s="1278" t="s">
        <v>533</v>
      </c>
      <c r="L6" s="1279"/>
      <c r="M6" s="1281"/>
      <c r="N6" s="1281"/>
      <c r="R6" s="1280"/>
      <c r="S6" s="1280"/>
    </row>
    <row r="7" spans="1:19" ht="15.75" customHeight="1">
      <c r="A7" s="106" t="s">
        <v>26</v>
      </c>
      <c r="B7" s="106" t="s">
        <v>19</v>
      </c>
      <c r="C7" s="85" t="s">
        <v>18</v>
      </c>
      <c r="D7" s="85" t="s">
        <v>17</v>
      </c>
      <c r="E7" s="85" t="s">
        <v>18</v>
      </c>
      <c r="F7" s="85" t="s">
        <v>17</v>
      </c>
      <c r="G7" s="85" t="s">
        <v>18</v>
      </c>
      <c r="H7" s="85" t="s">
        <v>17</v>
      </c>
      <c r="I7" s="85" t="s">
        <v>18</v>
      </c>
      <c r="J7" s="85" t="s">
        <v>17</v>
      </c>
      <c r="K7" s="85" t="s">
        <v>18</v>
      </c>
      <c r="L7" s="85" t="s">
        <v>17</v>
      </c>
      <c r="M7" s="1282"/>
      <c r="N7" s="1282"/>
    </row>
    <row r="8" spans="1:19" ht="15" thickBot="1">
      <c r="A8" s="84"/>
      <c r="B8" s="107" t="s">
        <v>16</v>
      </c>
      <c r="C8" s="90" t="s">
        <v>323</v>
      </c>
      <c r="D8" s="90" t="s">
        <v>324</v>
      </c>
      <c r="E8" s="90" t="s">
        <v>323</v>
      </c>
      <c r="F8" s="90" t="s">
        <v>324</v>
      </c>
      <c r="G8" s="90" t="s">
        <v>323</v>
      </c>
      <c r="H8" s="90" t="s">
        <v>324</v>
      </c>
      <c r="I8" s="90" t="s">
        <v>323</v>
      </c>
      <c r="J8" s="90" t="s">
        <v>324</v>
      </c>
      <c r="K8" s="90" t="s">
        <v>323</v>
      </c>
      <c r="L8" s="90" t="s">
        <v>324</v>
      </c>
      <c r="M8" s="1282"/>
      <c r="N8" s="1282"/>
    </row>
    <row r="9" spans="1:19" ht="18.75" thickBot="1">
      <c r="A9" s="88" t="s">
        <v>97</v>
      </c>
      <c r="B9" s="89">
        <v>21</v>
      </c>
      <c r="C9" s="93">
        <v>19</v>
      </c>
      <c r="D9" s="94">
        <f>(C9/B9)</f>
        <v>0.90476190476190477</v>
      </c>
      <c r="E9" s="93">
        <v>19</v>
      </c>
      <c r="F9" s="94">
        <f>(E9/B9)</f>
        <v>0.90476190476190477</v>
      </c>
      <c r="G9" s="93">
        <v>19</v>
      </c>
      <c r="H9" s="94">
        <f>(G9/B9)</f>
        <v>0.90476190476190477</v>
      </c>
      <c r="I9" s="93">
        <v>20</v>
      </c>
      <c r="J9" s="94">
        <f>(I9/B9)</f>
        <v>0.95238095238095233</v>
      </c>
      <c r="K9" s="93">
        <v>21</v>
      </c>
      <c r="L9" s="94">
        <f>(K9/B9)</f>
        <v>1</v>
      </c>
      <c r="M9" s="832"/>
      <c r="N9" s="833"/>
    </row>
    <row r="10" spans="1:19" ht="18.75" thickBot="1">
      <c r="A10" s="88" t="s">
        <v>98</v>
      </c>
      <c r="B10" s="1036">
        <v>25</v>
      </c>
      <c r="C10" s="93">
        <v>19</v>
      </c>
      <c r="D10" s="94">
        <f>(C10/B10)</f>
        <v>0.76</v>
      </c>
      <c r="E10" s="93">
        <v>19</v>
      </c>
      <c r="F10" s="94">
        <f>(E10/B10)</f>
        <v>0.76</v>
      </c>
      <c r="G10" s="93">
        <v>24</v>
      </c>
      <c r="H10" s="94">
        <f>(G10/B10)</f>
        <v>0.96</v>
      </c>
      <c r="I10" s="93">
        <v>23</v>
      </c>
      <c r="J10" s="94">
        <f>(I10/B10)</f>
        <v>0.92</v>
      </c>
      <c r="K10" s="93">
        <v>24</v>
      </c>
      <c r="L10" s="94">
        <f>(K10/B10)</f>
        <v>0.96</v>
      </c>
      <c r="M10" s="832"/>
      <c r="N10" s="833"/>
    </row>
    <row r="11" spans="1:19" ht="17.25" thickBot="1">
      <c r="A11" s="86" t="s">
        <v>0</v>
      </c>
      <c r="B11" s="87">
        <f>SUM(B9:B10)</f>
        <v>46</v>
      </c>
      <c r="C11" s="91">
        <f>SUM(C9:C10)</f>
        <v>38</v>
      </c>
      <c r="D11" s="92">
        <f>(C11/B11)</f>
        <v>0.82608695652173914</v>
      </c>
      <c r="E11" s="87">
        <f>SUM(E9:E10)</f>
        <v>38</v>
      </c>
      <c r="F11" s="92">
        <f>(E11/B11)</f>
        <v>0.82608695652173914</v>
      </c>
      <c r="G11" s="87">
        <f>SUM(G9:G10)</f>
        <v>43</v>
      </c>
      <c r="H11" s="92">
        <f>(G11/B11)</f>
        <v>0.93478260869565222</v>
      </c>
      <c r="I11" s="87">
        <f>SUM(I9:I10)</f>
        <v>43</v>
      </c>
      <c r="J11" s="92">
        <f>(I11/B11)</f>
        <v>0.93478260869565222</v>
      </c>
      <c r="K11" s="91">
        <f>SUM(K9:K10)</f>
        <v>45</v>
      </c>
      <c r="L11" s="92">
        <f>(K11/B11)</f>
        <v>0.97826086956521741</v>
      </c>
      <c r="M11" s="830"/>
      <c r="N11" s="831"/>
    </row>
    <row r="12" spans="1:19" ht="13.5" thickBot="1"/>
    <row r="13" spans="1:19" ht="21" customHeight="1" thickBot="1">
      <c r="B13" s="1270" t="s">
        <v>545</v>
      </c>
      <c r="C13" s="1271"/>
      <c r="D13" s="1272"/>
      <c r="E13" s="1273" t="s">
        <v>549</v>
      </c>
      <c r="F13" s="1274"/>
      <c r="G13" s="1275"/>
      <c r="H13" s="1273" t="s">
        <v>547</v>
      </c>
      <c r="I13" s="1274"/>
      <c r="J13" s="1275"/>
      <c r="K13" s="1273" t="s">
        <v>548</v>
      </c>
      <c r="L13" s="1274"/>
      <c r="M13" s="1275"/>
      <c r="N13" s="1273" t="s">
        <v>583</v>
      </c>
      <c r="O13" s="1274"/>
      <c r="P13" s="1275"/>
    </row>
    <row r="14" spans="1:19" ht="13.5" customHeight="1" thickBot="1">
      <c r="A14" s="258"/>
      <c r="B14" s="1262" t="s">
        <v>546</v>
      </c>
      <c r="C14" s="1263"/>
      <c r="D14" s="1240" t="s">
        <v>147</v>
      </c>
      <c r="E14" s="1266" t="s">
        <v>546</v>
      </c>
      <c r="F14" s="1267"/>
      <c r="G14" s="1241" t="s">
        <v>147</v>
      </c>
      <c r="H14" s="1266" t="s">
        <v>546</v>
      </c>
      <c r="I14" s="1267"/>
      <c r="J14" s="1241" t="s">
        <v>147</v>
      </c>
      <c r="K14" s="1258" t="s">
        <v>546</v>
      </c>
      <c r="L14" s="1259"/>
      <c r="M14" s="1241" t="s">
        <v>147</v>
      </c>
      <c r="N14" s="1258" t="s">
        <v>546</v>
      </c>
      <c r="O14" s="1259"/>
      <c r="P14" s="1241" t="s">
        <v>147</v>
      </c>
    </row>
    <row r="15" spans="1:19" ht="16.5" customHeight="1" thickBot="1">
      <c r="A15" s="259"/>
      <c r="B15" s="1264"/>
      <c r="C15" s="1265"/>
      <c r="D15" s="1242"/>
      <c r="E15" s="1268"/>
      <c r="F15" s="1269"/>
      <c r="G15" s="1242"/>
      <c r="H15" s="1268"/>
      <c r="I15" s="1269"/>
      <c r="J15" s="1242"/>
      <c r="K15" s="1260"/>
      <c r="L15" s="1261"/>
      <c r="M15" s="1242"/>
      <c r="N15" s="1260"/>
      <c r="O15" s="1261"/>
      <c r="P15" s="1242"/>
    </row>
    <row r="16" spans="1:19" ht="16.5" customHeight="1" thickBot="1">
      <c r="A16" s="829" t="s">
        <v>97</v>
      </c>
      <c r="B16" s="1250">
        <v>0</v>
      </c>
      <c r="C16" s="1251"/>
      <c r="D16" s="414">
        <f>B16/B9</f>
        <v>0</v>
      </c>
      <c r="E16" s="1256">
        <v>0</v>
      </c>
      <c r="F16" s="1257"/>
      <c r="G16" s="798">
        <f>E16/B9</f>
        <v>0</v>
      </c>
      <c r="H16" s="1256">
        <v>3</v>
      </c>
      <c r="I16" s="1257"/>
      <c r="J16" s="798">
        <f>H16/B9</f>
        <v>0.14285714285714285</v>
      </c>
      <c r="K16" s="1256">
        <v>18</v>
      </c>
      <c r="L16" s="1257"/>
      <c r="M16" s="800">
        <f>K16/B9</f>
        <v>0.8571428571428571</v>
      </c>
      <c r="N16" s="1254">
        <v>20</v>
      </c>
      <c r="O16" s="1255"/>
      <c r="P16" s="799">
        <f>N16/B9</f>
        <v>0.95238095238095233</v>
      </c>
    </row>
    <row r="17" spans="1:25" ht="16.5" thickBot="1">
      <c r="A17" s="829" t="s">
        <v>98</v>
      </c>
      <c r="B17" s="1250">
        <v>0</v>
      </c>
      <c r="C17" s="1251"/>
      <c r="D17" s="414">
        <f>B17/B10</f>
        <v>0</v>
      </c>
      <c r="E17" s="1252">
        <v>0</v>
      </c>
      <c r="F17" s="1253"/>
      <c r="G17" s="798">
        <f>E17/B10</f>
        <v>0</v>
      </c>
      <c r="H17" s="1252">
        <v>7</v>
      </c>
      <c r="I17" s="1253"/>
      <c r="J17" s="798">
        <f>H17/B10</f>
        <v>0.28000000000000003</v>
      </c>
      <c r="K17" s="1252">
        <v>18</v>
      </c>
      <c r="L17" s="1253"/>
      <c r="M17" s="800">
        <f>K17/B10</f>
        <v>0.72</v>
      </c>
      <c r="N17" s="1254">
        <v>20</v>
      </c>
      <c r="O17" s="1255"/>
      <c r="P17" s="799">
        <f>N17/B10</f>
        <v>0.8</v>
      </c>
    </row>
    <row r="18" spans="1:25" ht="15.75" thickBot="1">
      <c r="A18" s="257" t="s">
        <v>0</v>
      </c>
      <c r="B18" s="1246">
        <f>SUM(B16:B17)</f>
        <v>0</v>
      </c>
      <c r="C18" s="1247"/>
      <c r="D18" s="194">
        <f>B18/B11</f>
        <v>0</v>
      </c>
      <c r="E18" s="1246">
        <f>SUM(E16:F17)</f>
        <v>0</v>
      </c>
      <c r="F18" s="1247"/>
      <c r="G18" s="194">
        <f>E18/B11</f>
        <v>0</v>
      </c>
      <c r="H18" s="1246">
        <f>SUM(H16:I17)</f>
        <v>10</v>
      </c>
      <c r="I18" s="1247"/>
      <c r="J18" s="194">
        <f>H18/B10</f>
        <v>0.4</v>
      </c>
      <c r="K18" s="1248">
        <f>SUM(K16:K17)</f>
        <v>36</v>
      </c>
      <c r="L18" s="1249"/>
      <c r="M18" s="801">
        <f>K18/B11</f>
        <v>0.78260869565217395</v>
      </c>
      <c r="N18" s="1276">
        <f>SUM(N16:O17)</f>
        <v>40</v>
      </c>
      <c r="O18" s="1249"/>
      <c r="P18" s="802">
        <f>N18/B11</f>
        <v>0.86956521739130432</v>
      </c>
    </row>
    <row r="19" spans="1:25">
      <c r="C19" s="1109"/>
      <c r="D19" s="1109"/>
      <c r="E19" s="1109"/>
      <c r="F19" s="1109"/>
      <c r="G19" s="1109"/>
      <c r="H19" s="1109"/>
      <c r="I19" s="1109"/>
      <c r="J19" s="1109"/>
      <c r="K19" s="1109"/>
      <c r="L19" s="1109"/>
    </row>
    <row r="20" spans="1:25">
      <c r="C20" s="1109"/>
      <c r="D20" s="1109"/>
      <c r="E20" s="1109"/>
      <c r="F20" s="1109"/>
      <c r="G20" s="1109"/>
      <c r="H20" s="1109"/>
      <c r="I20" s="1109"/>
      <c r="J20" s="1109"/>
      <c r="K20" s="1109"/>
      <c r="L20" s="1109"/>
    </row>
    <row r="22" spans="1:25" ht="12.75" customHeight="1">
      <c r="A22" s="1277" t="s">
        <v>490</v>
      </c>
      <c r="B22" s="1277"/>
      <c r="C22" s="1277"/>
      <c r="D22" s="1277"/>
      <c r="E22" s="1277"/>
      <c r="F22" s="1277"/>
      <c r="G22" s="1277"/>
      <c r="H22" s="1277"/>
      <c r="I22" s="1277"/>
      <c r="J22" s="1277"/>
      <c r="K22" s="1277"/>
      <c r="L22" s="1277"/>
      <c r="M22" s="1277"/>
    </row>
    <row r="23" spans="1:25" ht="12.75" customHeight="1">
      <c r="A23" s="1277"/>
      <c r="B23" s="1277"/>
      <c r="C23" s="1277"/>
      <c r="D23" s="1277"/>
      <c r="E23" s="1277"/>
      <c r="F23" s="1277"/>
      <c r="G23" s="1277"/>
      <c r="H23" s="1277"/>
      <c r="I23" s="1277"/>
      <c r="J23" s="1277"/>
      <c r="K23" s="1277"/>
      <c r="L23" s="1277"/>
      <c r="M23" s="1277"/>
    </row>
    <row r="24" spans="1:25" ht="13.5" thickBot="1"/>
    <row r="25" spans="1:25" ht="15" thickBot="1">
      <c r="A25" s="83"/>
      <c r="B25" s="105" t="s">
        <v>7</v>
      </c>
      <c r="C25" s="1278" t="s">
        <v>94</v>
      </c>
      <c r="D25" s="1279"/>
      <c r="E25" s="1278" t="s">
        <v>95</v>
      </c>
      <c r="F25" s="1279"/>
      <c r="G25" s="1278" t="s">
        <v>96</v>
      </c>
      <c r="H25" s="1279"/>
      <c r="I25" s="1278" t="s">
        <v>532</v>
      </c>
      <c r="J25" s="1279"/>
      <c r="K25" s="1278" t="s">
        <v>533</v>
      </c>
      <c r="L25" s="1279"/>
      <c r="M25" s="1283"/>
      <c r="N25" s="1283"/>
      <c r="Q25" s="132"/>
      <c r="R25" s="132"/>
      <c r="S25" s="132"/>
      <c r="T25" s="1130"/>
      <c r="U25" s="1128"/>
    </row>
    <row r="26" spans="1:25" ht="14.25" thickBot="1">
      <c r="A26" s="106" t="s">
        <v>26</v>
      </c>
      <c r="B26" s="106" t="s">
        <v>19</v>
      </c>
      <c r="C26" s="85" t="s">
        <v>18</v>
      </c>
      <c r="D26" s="85" t="s">
        <v>17</v>
      </c>
      <c r="E26" s="85" t="s">
        <v>18</v>
      </c>
      <c r="F26" s="85" t="s">
        <v>17</v>
      </c>
      <c r="G26" s="85" t="s">
        <v>18</v>
      </c>
      <c r="H26" s="85" t="s">
        <v>17</v>
      </c>
      <c r="I26" s="85" t="s">
        <v>18</v>
      </c>
      <c r="J26" s="85" t="s">
        <v>17</v>
      </c>
      <c r="K26" s="85" t="s">
        <v>18</v>
      </c>
      <c r="L26" s="85" t="s">
        <v>17</v>
      </c>
      <c r="M26" s="1283"/>
      <c r="N26" s="1283"/>
      <c r="Q26" s="19"/>
      <c r="R26" s="19"/>
      <c r="S26" s="19"/>
      <c r="T26" s="19"/>
      <c r="U26" s="19"/>
      <c r="V26" s="19"/>
      <c r="W26" s="19"/>
      <c r="X26" s="19"/>
      <c r="Y26" s="19"/>
    </row>
    <row r="27" spans="1:25" ht="15" thickBot="1">
      <c r="A27" s="84"/>
      <c r="B27" s="107" t="s">
        <v>16</v>
      </c>
      <c r="C27" s="90" t="s">
        <v>323</v>
      </c>
      <c r="D27" s="90" t="s">
        <v>324</v>
      </c>
      <c r="E27" s="90" t="s">
        <v>323</v>
      </c>
      <c r="F27" s="90" t="s">
        <v>324</v>
      </c>
      <c r="G27" s="90" t="s">
        <v>323</v>
      </c>
      <c r="H27" s="90" t="s">
        <v>324</v>
      </c>
      <c r="I27" s="90" t="s">
        <v>323</v>
      </c>
      <c r="J27" s="90" t="s">
        <v>324</v>
      </c>
      <c r="K27" s="90" t="s">
        <v>323</v>
      </c>
      <c r="L27" s="90" t="s">
        <v>324</v>
      </c>
      <c r="M27" s="1283"/>
      <c r="N27" s="1283"/>
    </row>
    <row r="28" spans="1:25" ht="18.75" thickBot="1">
      <c r="A28" s="88" t="s">
        <v>97</v>
      </c>
      <c r="B28" s="89">
        <v>21</v>
      </c>
      <c r="C28" s="93">
        <v>17</v>
      </c>
      <c r="D28" s="94">
        <f>(C28/B28)</f>
        <v>0.80952380952380953</v>
      </c>
      <c r="E28" s="93">
        <v>19</v>
      </c>
      <c r="F28" s="94">
        <f>(E28/B28)</f>
        <v>0.90476190476190477</v>
      </c>
      <c r="G28" s="93">
        <v>21</v>
      </c>
      <c r="H28" s="94">
        <f>(G28/B28)</f>
        <v>1</v>
      </c>
      <c r="I28" s="93">
        <v>21</v>
      </c>
      <c r="J28" s="94">
        <f>(I28/B28)</f>
        <v>1</v>
      </c>
      <c r="K28" s="93">
        <v>21</v>
      </c>
      <c r="L28" s="94">
        <f>(K28/B28)</f>
        <v>1</v>
      </c>
      <c r="M28" s="834"/>
      <c r="N28" s="835"/>
    </row>
    <row r="29" spans="1:25" ht="18.75" thickBot="1">
      <c r="A29" s="88" t="s">
        <v>98</v>
      </c>
      <c r="B29" s="1036">
        <v>25</v>
      </c>
      <c r="C29" s="93">
        <v>14</v>
      </c>
      <c r="D29" s="94">
        <f>(C29/B29)</f>
        <v>0.56000000000000005</v>
      </c>
      <c r="E29" s="93">
        <v>18</v>
      </c>
      <c r="F29" s="94">
        <f>(E29/B29)</f>
        <v>0.72</v>
      </c>
      <c r="G29" s="93">
        <v>25</v>
      </c>
      <c r="H29" s="94">
        <f>(G29/B29)</f>
        <v>1</v>
      </c>
      <c r="I29" s="93">
        <v>25</v>
      </c>
      <c r="J29" s="94">
        <f>(I29/B29)</f>
        <v>1</v>
      </c>
      <c r="K29" s="93">
        <v>25</v>
      </c>
      <c r="L29" s="94">
        <f>(K29/B29)</f>
        <v>1</v>
      </c>
      <c r="M29" s="834"/>
      <c r="N29" s="835"/>
    </row>
    <row r="30" spans="1:25" ht="18.75" thickBot="1">
      <c r="A30" s="88" t="s">
        <v>99</v>
      </c>
      <c r="B30" s="1036">
        <v>10</v>
      </c>
      <c r="C30" s="93">
        <v>9</v>
      </c>
      <c r="D30" s="94">
        <f>(C30/B30)</f>
        <v>0.9</v>
      </c>
      <c r="E30" s="93">
        <v>9</v>
      </c>
      <c r="F30" s="94">
        <f>(E30/B30)</f>
        <v>0.9</v>
      </c>
      <c r="G30" s="93">
        <v>9</v>
      </c>
      <c r="H30" s="94">
        <f>(G30/B30)</f>
        <v>0.9</v>
      </c>
      <c r="I30" s="93">
        <v>10</v>
      </c>
      <c r="J30" s="94">
        <f>(I30/B30)</f>
        <v>1</v>
      </c>
      <c r="K30" s="93">
        <v>10</v>
      </c>
      <c r="L30" s="94">
        <f>(K30/B30)</f>
        <v>1</v>
      </c>
      <c r="M30" s="834"/>
      <c r="N30" s="835"/>
    </row>
    <row r="31" spans="1:25" ht="17.25" thickBot="1">
      <c r="A31" s="86" t="s">
        <v>0</v>
      </c>
      <c r="B31" s="87">
        <f>SUM(B28:B30)</f>
        <v>56</v>
      </c>
      <c r="C31" s="91">
        <f>SUM(C28:C30)</f>
        <v>40</v>
      </c>
      <c r="D31" s="92">
        <f>(C31/B31)</f>
        <v>0.7142857142857143</v>
      </c>
      <c r="E31" s="87">
        <f>SUM(E28:E30)</f>
        <v>46</v>
      </c>
      <c r="F31" s="92">
        <f>(E31/B31)</f>
        <v>0.8214285714285714</v>
      </c>
      <c r="G31" s="87">
        <f>SUM(G28:G30)</f>
        <v>55</v>
      </c>
      <c r="H31" s="92">
        <f>(G31/B31)</f>
        <v>0.9821428571428571</v>
      </c>
      <c r="I31" s="87">
        <f>SUM(I28:I30)</f>
        <v>56</v>
      </c>
      <c r="J31" s="92">
        <f>(I31/B31)</f>
        <v>1</v>
      </c>
      <c r="K31" s="91">
        <f>SUM(K28:K30)</f>
        <v>56</v>
      </c>
      <c r="L31" s="92">
        <f>(K31/B31)</f>
        <v>1</v>
      </c>
      <c r="M31" s="836"/>
      <c r="N31" s="837"/>
    </row>
    <row r="32" spans="1:25" ht="13.5" thickBot="1"/>
    <row r="33" spans="1:16" ht="24" thickBot="1">
      <c r="B33" s="1270" t="s">
        <v>545</v>
      </c>
      <c r="C33" s="1271"/>
      <c r="D33" s="1272"/>
      <c r="E33" s="1273" t="s">
        <v>549</v>
      </c>
      <c r="F33" s="1274"/>
      <c r="G33" s="1275"/>
      <c r="H33" s="1273" t="s">
        <v>547</v>
      </c>
      <c r="I33" s="1274"/>
      <c r="J33" s="1275"/>
      <c r="K33" s="1273" t="s">
        <v>548</v>
      </c>
      <c r="L33" s="1274"/>
      <c r="M33" s="1275"/>
      <c r="N33" s="1273" t="s">
        <v>584</v>
      </c>
      <c r="O33" s="1274"/>
      <c r="P33" s="1275"/>
    </row>
    <row r="34" spans="1:16" ht="15.75" thickBot="1">
      <c r="A34" s="258"/>
      <c r="B34" s="1262" t="s">
        <v>546</v>
      </c>
      <c r="C34" s="1263"/>
      <c r="D34" s="1240" t="s">
        <v>147</v>
      </c>
      <c r="E34" s="1266" t="s">
        <v>546</v>
      </c>
      <c r="F34" s="1267"/>
      <c r="G34" s="1241" t="s">
        <v>147</v>
      </c>
      <c r="H34" s="1266" t="s">
        <v>546</v>
      </c>
      <c r="I34" s="1267"/>
      <c r="J34" s="1241" t="s">
        <v>147</v>
      </c>
      <c r="K34" s="1258" t="s">
        <v>546</v>
      </c>
      <c r="L34" s="1259"/>
      <c r="M34" s="1241" t="s">
        <v>147</v>
      </c>
      <c r="N34" s="1258" t="s">
        <v>546</v>
      </c>
      <c r="O34" s="1259"/>
      <c r="P34" s="1241" t="s">
        <v>147</v>
      </c>
    </row>
    <row r="35" spans="1:16" ht="16.5" customHeight="1" thickBot="1">
      <c r="A35" s="259"/>
      <c r="B35" s="1264"/>
      <c r="C35" s="1265"/>
      <c r="D35" s="1242"/>
      <c r="E35" s="1268"/>
      <c r="F35" s="1269"/>
      <c r="G35" s="1242"/>
      <c r="H35" s="1268"/>
      <c r="I35" s="1269"/>
      <c r="J35" s="1242"/>
      <c r="K35" s="1260"/>
      <c r="L35" s="1261"/>
      <c r="M35" s="1242"/>
      <c r="N35" s="1260"/>
      <c r="O35" s="1261"/>
      <c r="P35" s="1242"/>
    </row>
    <row r="36" spans="1:16" ht="16.5" thickBot="1">
      <c r="A36" s="829" t="s">
        <v>97</v>
      </c>
      <c r="B36" s="1250">
        <v>0</v>
      </c>
      <c r="C36" s="1251"/>
      <c r="D36" s="414">
        <f>B36/B28</f>
        <v>0</v>
      </c>
      <c r="E36" s="1256">
        <v>0</v>
      </c>
      <c r="F36" s="1257"/>
      <c r="G36" s="798">
        <f>E36/B28</f>
        <v>0</v>
      </c>
      <c r="H36" s="1256">
        <v>8</v>
      </c>
      <c r="I36" s="1257"/>
      <c r="J36" s="798">
        <f>H36/B28</f>
        <v>0.38095238095238093</v>
      </c>
      <c r="K36" s="1256">
        <v>14</v>
      </c>
      <c r="L36" s="1257"/>
      <c r="M36" s="800">
        <f>K36/B28</f>
        <v>0.66666666666666663</v>
      </c>
      <c r="N36" s="1254">
        <v>18</v>
      </c>
      <c r="O36" s="1255"/>
      <c r="P36" s="799">
        <f>N36/B28</f>
        <v>0.8571428571428571</v>
      </c>
    </row>
    <row r="37" spans="1:16" ht="16.5" thickBot="1">
      <c r="A37" s="829" t="s">
        <v>98</v>
      </c>
      <c r="B37" s="1250">
        <v>0</v>
      </c>
      <c r="C37" s="1251"/>
      <c r="D37" s="414">
        <f>B37/B29</f>
        <v>0</v>
      </c>
      <c r="E37" s="1252">
        <v>0</v>
      </c>
      <c r="F37" s="1253"/>
      <c r="G37" s="798">
        <f>E37/B29</f>
        <v>0</v>
      </c>
      <c r="H37" s="1252">
        <v>11</v>
      </c>
      <c r="I37" s="1253"/>
      <c r="J37" s="798">
        <f>H37/B29</f>
        <v>0.44</v>
      </c>
      <c r="K37" s="1252">
        <v>14</v>
      </c>
      <c r="L37" s="1253"/>
      <c r="M37" s="800">
        <f>K37/B29</f>
        <v>0.56000000000000005</v>
      </c>
      <c r="N37" s="1254">
        <v>18</v>
      </c>
      <c r="O37" s="1255"/>
      <c r="P37" s="799">
        <f>N37/B29</f>
        <v>0.72</v>
      </c>
    </row>
    <row r="38" spans="1:16" ht="16.5" thickBot="1">
      <c r="A38" s="829" t="s">
        <v>99</v>
      </c>
      <c r="B38" s="1250">
        <v>0</v>
      </c>
      <c r="C38" s="1251"/>
      <c r="D38" s="414">
        <f>B38/B30</f>
        <v>0</v>
      </c>
      <c r="E38" s="1252">
        <v>0</v>
      </c>
      <c r="F38" s="1253"/>
      <c r="G38" s="798">
        <f>E38/B30</f>
        <v>0</v>
      </c>
      <c r="H38" s="1252">
        <v>0</v>
      </c>
      <c r="I38" s="1253"/>
      <c r="J38" s="798">
        <f>H38/B30</f>
        <v>0</v>
      </c>
      <c r="K38" s="1252">
        <v>9</v>
      </c>
      <c r="L38" s="1253"/>
      <c r="M38" s="800">
        <f>K38/B30</f>
        <v>0.9</v>
      </c>
      <c r="N38" s="1254">
        <v>9</v>
      </c>
      <c r="O38" s="1255"/>
      <c r="P38" s="799">
        <f>N38/B30</f>
        <v>0.9</v>
      </c>
    </row>
    <row r="39" spans="1:16" ht="15.75" thickBot="1">
      <c r="A39" s="257" t="s">
        <v>0</v>
      </c>
      <c r="B39" s="1246">
        <f>SUM(B36:B38)</f>
        <v>0</v>
      </c>
      <c r="C39" s="1247"/>
      <c r="D39" s="194">
        <f>B39/B31</f>
        <v>0</v>
      </c>
      <c r="E39" s="1246">
        <f>SUM(E36:F38)</f>
        <v>0</v>
      </c>
      <c r="F39" s="1247"/>
      <c r="G39" s="194">
        <f>E39/B31</f>
        <v>0</v>
      </c>
      <c r="H39" s="1246">
        <f>SUM(H36:I38)</f>
        <v>19</v>
      </c>
      <c r="I39" s="1247"/>
      <c r="J39" s="194">
        <f>H39/B31</f>
        <v>0.3392857142857143</v>
      </c>
      <c r="K39" s="1248">
        <f>SUM(K36:K38)</f>
        <v>37</v>
      </c>
      <c r="L39" s="1249"/>
      <c r="M39" s="801">
        <f>K39/B31</f>
        <v>0.6607142857142857</v>
      </c>
      <c r="N39" s="1248">
        <f>SUM(N36:N38)</f>
        <v>45</v>
      </c>
      <c r="O39" s="1249"/>
      <c r="P39" s="802">
        <f>N39/B31</f>
        <v>0.8035714285714286</v>
      </c>
    </row>
    <row r="40" spans="1:16">
      <c r="C40" s="1109"/>
      <c r="D40" s="1109"/>
      <c r="E40" s="1109"/>
      <c r="F40" s="1109"/>
      <c r="G40" s="1109"/>
      <c r="H40" s="1109"/>
      <c r="I40" s="1109"/>
      <c r="J40" s="1109"/>
      <c r="K40" s="1109"/>
      <c r="L40" s="1109"/>
    </row>
    <row r="41" spans="1:16">
      <c r="C41" s="1109"/>
      <c r="D41" s="1109"/>
      <c r="E41" s="1109"/>
      <c r="F41" s="1109"/>
      <c r="G41" s="1109"/>
      <c r="H41" s="1109"/>
      <c r="I41" s="1109"/>
      <c r="J41" s="1109"/>
      <c r="K41" s="1109"/>
      <c r="L41" s="1109"/>
    </row>
    <row r="42" spans="1:16" ht="20.25">
      <c r="C42" s="2" t="s">
        <v>581</v>
      </c>
    </row>
    <row r="43" spans="1:16">
      <c r="C43" s="2" t="s">
        <v>582</v>
      </c>
    </row>
  </sheetData>
  <mergeCells count="83">
    <mergeCell ref="R6:S6"/>
    <mergeCell ref="M6:M8"/>
    <mergeCell ref="N6:N8"/>
    <mergeCell ref="M25:M27"/>
    <mergeCell ref="N25:N27"/>
    <mergeCell ref="N13:P13"/>
    <mergeCell ref="N14:O15"/>
    <mergeCell ref="P14:P15"/>
    <mergeCell ref="N16:O16"/>
    <mergeCell ref="C25:D25"/>
    <mergeCell ref="E25:F25"/>
    <mergeCell ref="G25:H25"/>
    <mergeCell ref="K6:L6"/>
    <mergeCell ref="I6:J6"/>
    <mergeCell ref="G6:H6"/>
    <mergeCell ref="K25:L25"/>
    <mergeCell ref="I25:J25"/>
    <mergeCell ref="H14:I15"/>
    <mergeCell ref="B16:C16"/>
    <mergeCell ref="E16:F16"/>
    <mergeCell ref="H16:I16"/>
    <mergeCell ref="K16:L16"/>
    <mergeCell ref="B17:C17"/>
    <mergeCell ref="E17:F17"/>
    <mergeCell ref="H17:I17"/>
    <mergeCell ref="A1:M2"/>
    <mergeCell ref="C6:D6"/>
    <mergeCell ref="E6:F6"/>
    <mergeCell ref="A3:M4"/>
    <mergeCell ref="A22:M23"/>
    <mergeCell ref="B13:D13"/>
    <mergeCell ref="E13:G13"/>
    <mergeCell ref="H13:J13"/>
    <mergeCell ref="K13:M13"/>
    <mergeCell ref="J14:J15"/>
    <mergeCell ref="K14:L15"/>
    <mergeCell ref="M14:M15"/>
    <mergeCell ref="B14:C15"/>
    <mergeCell ref="D14:D15"/>
    <mergeCell ref="E14:F15"/>
    <mergeCell ref="G14:G15"/>
    <mergeCell ref="K17:L17"/>
    <mergeCell ref="N17:O17"/>
    <mergeCell ref="B18:C18"/>
    <mergeCell ref="E18:F18"/>
    <mergeCell ref="H18:I18"/>
    <mergeCell ref="K18:L18"/>
    <mergeCell ref="N18:O18"/>
    <mergeCell ref="B33:D33"/>
    <mergeCell ref="E33:G33"/>
    <mergeCell ref="H33:J33"/>
    <mergeCell ref="K33:M33"/>
    <mergeCell ref="N33:P33"/>
    <mergeCell ref="B34:C35"/>
    <mergeCell ref="D34:D35"/>
    <mergeCell ref="E34:F35"/>
    <mergeCell ref="G34:G35"/>
    <mergeCell ref="H34:I35"/>
    <mergeCell ref="J34:J35"/>
    <mergeCell ref="K34:L35"/>
    <mergeCell ref="M34:M35"/>
    <mergeCell ref="N34:O35"/>
    <mergeCell ref="P34:P35"/>
    <mergeCell ref="B36:C36"/>
    <mergeCell ref="E36:F36"/>
    <mergeCell ref="H36:I36"/>
    <mergeCell ref="K36:L36"/>
    <mergeCell ref="N36:O36"/>
    <mergeCell ref="B37:C37"/>
    <mergeCell ref="E37:F37"/>
    <mergeCell ref="H37:I37"/>
    <mergeCell ref="K37:L37"/>
    <mergeCell ref="N37:O37"/>
    <mergeCell ref="B38:C38"/>
    <mergeCell ref="E38:F38"/>
    <mergeCell ref="H38:I38"/>
    <mergeCell ref="K38:L38"/>
    <mergeCell ref="N38:O38"/>
    <mergeCell ref="B39:C39"/>
    <mergeCell ref="E39:F39"/>
    <mergeCell ref="H39:I39"/>
    <mergeCell ref="K39:L39"/>
    <mergeCell ref="N39:O39"/>
  </mergeCells>
  <phoneticPr fontId="0" type="noConversion"/>
  <printOptions horizontalCentered="1"/>
  <pageMargins left="0.11811023622047245" right="0.11811023622047245" top="0.74803149606299213" bottom="0.74803149606299213" header="0.31496062992125984" footer="0.31496062992125984"/>
  <pageSetup paperSize="9" scale="72" orientation="landscape" useFirstPageNumber="1" r:id="rId1"/>
  <headerFooter>
    <oddHeader>&amp;L&amp;"Trebuchet MS,Negrito"&amp;12&amp;K01+014AGRUPAMENTO DE ESCOLAS MIGUEL TORGA&amp;C
&amp;R&amp;"Trebuchet MS,Negrito itálico"&amp;12AUTOAVALIAÇÃO
3ºPeríodo  2012/1
Tabela II</oddHeader>
    <oddFooter>&amp;C
&amp;G&amp;R3</oddFooter>
  </headerFooter>
  <legacyDrawingHF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35"/>
  <sheetViews>
    <sheetView showGridLines="0" topLeftCell="A3" workbookViewId="0">
      <selection activeCell="I9" sqref="I9"/>
    </sheetView>
  </sheetViews>
  <sheetFormatPr defaultRowHeight="12.75"/>
  <cols>
    <col min="2" max="2" width="10.7109375" bestFit="1" customWidth="1"/>
    <col min="3" max="3" width="17.140625" bestFit="1" customWidth="1"/>
    <col min="4" max="4" width="9.7109375" bestFit="1" customWidth="1"/>
    <col min="5" max="5" width="15.85546875" bestFit="1" customWidth="1"/>
  </cols>
  <sheetData>
    <row r="1" spans="1:17" ht="12.75" customHeight="1">
      <c r="A1" s="1643"/>
      <c r="B1" s="1643"/>
      <c r="C1" s="1643"/>
      <c r="D1" s="1643"/>
      <c r="E1" s="1643"/>
      <c r="F1" s="1643"/>
      <c r="G1" s="1643"/>
      <c r="H1" s="1643"/>
      <c r="I1" s="1643"/>
      <c r="J1" s="1643"/>
      <c r="K1" s="1643"/>
      <c r="L1" s="1643"/>
      <c r="M1" s="1643"/>
      <c r="N1" s="1643"/>
      <c r="O1" s="1643"/>
      <c r="P1" s="1643"/>
      <c r="Q1" s="1643"/>
    </row>
    <row r="2" spans="1:17" ht="12.75" customHeight="1">
      <c r="A2" s="1643"/>
      <c r="B2" s="1643"/>
      <c r="C2" s="1643"/>
      <c r="D2" s="1643"/>
      <c r="E2" s="1643"/>
      <c r="F2" s="1643"/>
      <c r="G2" s="1643"/>
      <c r="H2" s="1643"/>
      <c r="I2" s="1643"/>
      <c r="J2" s="1643"/>
      <c r="K2" s="1643"/>
      <c r="L2" s="1643"/>
      <c r="M2" s="1643"/>
      <c r="N2" s="1643"/>
      <c r="O2" s="1643"/>
      <c r="P2" s="1643"/>
      <c r="Q2" s="1643"/>
    </row>
    <row r="3" spans="1:17" ht="18.75">
      <c r="A3" s="1642"/>
      <c r="B3" s="1642"/>
      <c r="C3" s="1642"/>
      <c r="D3" s="1642"/>
      <c r="E3" s="1642"/>
      <c r="F3" s="1642"/>
      <c r="G3" s="1642"/>
      <c r="H3" s="1642"/>
      <c r="I3" s="1642"/>
      <c r="J3" s="1642"/>
      <c r="K3" s="1642"/>
      <c r="L3" s="1642"/>
      <c r="M3" s="1642"/>
      <c r="N3" s="1642"/>
      <c r="O3" s="1642"/>
      <c r="P3" s="1642"/>
      <c r="Q3" s="1642"/>
    </row>
    <row r="4" spans="1:17" ht="15">
      <c r="A4" s="1644"/>
      <c r="B4" s="1644"/>
      <c r="C4" s="1644"/>
      <c r="D4" s="1644"/>
      <c r="E4" s="1644"/>
      <c r="F4" s="1644"/>
      <c r="G4" s="1644"/>
      <c r="H4" s="1644"/>
      <c r="I4" s="1644"/>
      <c r="J4" s="1644"/>
      <c r="K4" s="1644"/>
      <c r="L4" s="1644"/>
      <c r="M4" s="1644"/>
      <c r="N4" s="1644"/>
      <c r="O4" s="1644"/>
      <c r="P4" s="1644"/>
      <c r="Q4" s="1644"/>
    </row>
    <row r="5" spans="1:17">
      <c r="A5" s="1645" t="s">
        <v>543</v>
      </c>
      <c r="B5" s="1645"/>
      <c r="C5" s="1645"/>
      <c r="D5" s="1645"/>
      <c r="E5" s="1645"/>
      <c r="F5" s="1645"/>
      <c r="G5" s="1645"/>
    </row>
    <row r="6" spans="1:17">
      <c r="A6" s="1645"/>
      <c r="B6" s="1645"/>
      <c r="C6" s="1645"/>
      <c r="D6" s="1645"/>
      <c r="E6" s="1645"/>
      <c r="F6" s="1645"/>
      <c r="G6" s="1645"/>
    </row>
    <row r="7" spans="1:17" ht="21.75" thickBot="1">
      <c r="A7" s="342"/>
      <c r="B7" s="1397" t="s">
        <v>393</v>
      </c>
      <c r="C7" s="1397"/>
      <c r="D7" s="1397"/>
      <c r="E7" s="1397"/>
    </row>
    <row r="8" spans="1:17" ht="21.75" thickBot="1">
      <c r="A8" s="343"/>
      <c r="B8" s="178" t="s">
        <v>85</v>
      </c>
      <c r="C8" s="178" t="s">
        <v>138</v>
      </c>
      <c r="D8" s="178" t="s">
        <v>86</v>
      </c>
      <c r="E8" s="178" t="s">
        <v>139</v>
      </c>
    </row>
    <row r="9" spans="1:17" ht="15.75" thickBot="1">
      <c r="A9" s="111" t="s">
        <v>394</v>
      </c>
      <c r="B9" s="117"/>
      <c r="C9" s="118" t="e">
        <f t="shared" ref="C9:C14" si="0">B9/(B9+D9)</f>
        <v>#DIV/0!</v>
      </c>
      <c r="D9" s="117"/>
      <c r="E9" s="118" t="e">
        <f t="shared" ref="E9:E14" si="1">D9/(D9+B9)</f>
        <v>#DIV/0!</v>
      </c>
    </row>
    <row r="10" spans="1:17" ht="15.75" thickBot="1">
      <c r="A10" s="111" t="s">
        <v>395</v>
      </c>
      <c r="B10" s="117"/>
      <c r="C10" s="118" t="e">
        <f t="shared" si="0"/>
        <v>#DIV/0!</v>
      </c>
      <c r="D10" s="117"/>
      <c r="E10" s="118" t="e">
        <f t="shared" si="1"/>
        <v>#DIV/0!</v>
      </c>
    </row>
    <row r="11" spans="1:17" ht="15.75" thickBot="1">
      <c r="A11" s="111" t="s">
        <v>396</v>
      </c>
      <c r="B11" s="117"/>
      <c r="C11" s="118" t="e">
        <f t="shared" si="0"/>
        <v>#DIV/0!</v>
      </c>
      <c r="D11" s="117"/>
      <c r="E11" s="118" t="e">
        <f t="shared" si="1"/>
        <v>#DIV/0!</v>
      </c>
    </row>
    <row r="12" spans="1:17" ht="15.75" thickBot="1">
      <c r="A12" s="111" t="s">
        <v>397</v>
      </c>
      <c r="B12" s="117"/>
      <c r="C12" s="118" t="e">
        <f t="shared" si="0"/>
        <v>#DIV/0!</v>
      </c>
      <c r="D12" s="117"/>
      <c r="E12" s="118" t="e">
        <f t="shared" si="1"/>
        <v>#DIV/0!</v>
      </c>
    </row>
    <row r="13" spans="1:17" ht="15.75" thickBot="1">
      <c r="A13" s="111" t="s">
        <v>398</v>
      </c>
      <c r="B13" s="117"/>
      <c r="C13" s="118" t="e">
        <f t="shared" si="0"/>
        <v>#DIV/0!</v>
      </c>
      <c r="D13" s="117"/>
      <c r="E13" s="118" t="e">
        <f t="shared" si="1"/>
        <v>#DIV/0!</v>
      </c>
    </row>
    <row r="14" spans="1:17" ht="15.75" thickBot="1">
      <c r="A14" s="344" t="s">
        <v>0</v>
      </c>
      <c r="B14" s="345">
        <f>SUM(B9:B13)</f>
        <v>0</v>
      </c>
      <c r="C14" s="118" t="e">
        <f t="shared" si="0"/>
        <v>#DIV/0!</v>
      </c>
      <c r="D14" s="345">
        <f>SUM(D9:D13)</f>
        <v>0</v>
      </c>
      <c r="E14" s="118" t="e">
        <f t="shared" si="1"/>
        <v>#DIV/0!</v>
      </c>
    </row>
    <row r="18" spans="1:5" ht="21.75" thickBot="1">
      <c r="A18" s="342"/>
      <c r="B18" s="1397" t="s">
        <v>118</v>
      </c>
      <c r="C18" s="1397"/>
      <c r="D18" s="1397"/>
      <c r="E18" s="1397"/>
    </row>
    <row r="19" spans="1:5" ht="21.75" thickBot="1">
      <c r="A19" s="343"/>
      <c r="B19" s="178" t="s">
        <v>85</v>
      </c>
      <c r="C19" s="178" t="s">
        <v>138</v>
      </c>
      <c r="D19" s="178" t="s">
        <v>86</v>
      </c>
      <c r="E19" s="178" t="s">
        <v>139</v>
      </c>
    </row>
    <row r="20" spans="1:5" ht="15.75" thickBot="1">
      <c r="A20" s="111" t="s">
        <v>352</v>
      </c>
      <c r="B20" s="117"/>
      <c r="C20" s="118" t="e">
        <f>B20/(B20+D20)</f>
        <v>#DIV/0!</v>
      </c>
      <c r="D20" s="117"/>
      <c r="E20" s="118" t="e">
        <f>D20/(D20+B20)</f>
        <v>#DIV/0!</v>
      </c>
    </row>
    <row r="21" spans="1:5" ht="15.75" thickBot="1">
      <c r="A21" s="111" t="s">
        <v>353</v>
      </c>
      <c r="B21" s="117"/>
      <c r="C21" s="118" t="e">
        <f>B21/(B21+D21)</f>
        <v>#DIV/0!</v>
      </c>
      <c r="D21" s="117"/>
      <c r="E21" s="118" t="e">
        <f>D21/(D21+B21)</f>
        <v>#DIV/0!</v>
      </c>
    </row>
    <row r="22" spans="1:5" ht="15.75" thickBot="1">
      <c r="A22" s="111" t="s">
        <v>354</v>
      </c>
      <c r="B22" s="117"/>
      <c r="C22" s="118" t="e">
        <f>B22/(B22+D22)</f>
        <v>#DIV/0!</v>
      </c>
      <c r="D22" s="117"/>
      <c r="E22" s="118" t="e">
        <f>D22/(D22+B22)</f>
        <v>#DIV/0!</v>
      </c>
    </row>
    <row r="23" spans="1:5" ht="15.75" thickBot="1">
      <c r="A23" s="111" t="s">
        <v>355</v>
      </c>
      <c r="B23" s="117"/>
      <c r="C23" s="118" t="e">
        <f>B23/(B23+D23)</f>
        <v>#DIV/0!</v>
      </c>
      <c r="D23" s="117"/>
      <c r="E23" s="118" t="e">
        <f>D23/(D23+B23)</f>
        <v>#DIV/0!</v>
      </c>
    </row>
    <row r="24" spans="1:5" ht="15.75" thickBot="1">
      <c r="A24" s="344" t="s">
        <v>0</v>
      </c>
      <c r="B24" s="345">
        <f>SUM(B20:B23)</f>
        <v>0</v>
      </c>
      <c r="C24" s="118" t="e">
        <f>B24/(B24+D24)</f>
        <v>#DIV/0!</v>
      </c>
      <c r="D24" s="345">
        <f>SUM(D20:D23)</f>
        <v>0</v>
      </c>
      <c r="E24" s="118" t="e">
        <f>D24/(D24+B24)</f>
        <v>#DIV/0!</v>
      </c>
    </row>
    <row r="29" spans="1:5" ht="21.75" thickBot="1">
      <c r="A29" s="342"/>
      <c r="B29" s="1397" t="s">
        <v>119</v>
      </c>
      <c r="C29" s="1397"/>
      <c r="D29" s="1397"/>
      <c r="E29" s="1397"/>
    </row>
    <row r="30" spans="1:5" ht="21.75" thickBot="1">
      <c r="A30" s="343"/>
      <c r="B30" s="178" t="s">
        <v>85</v>
      </c>
      <c r="C30" s="178" t="s">
        <v>138</v>
      </c>
      <c r="D30" s="178" t="s">
        <v>86</v>
      </c>
      <c r="E30" s="178" t="s">
        <v>139</v>
      </c>
    </row>
    <row r="31" spans="1:5" ht="15.75" thickBot="1">
      <c r="A31" s="111" t="s">
        <v>352</v>
      </c>
      <c r="B31" s="117"/>
      <c r="C31" s="118" t="e">
        <f>B31/(B31+D31)</f>
        <v>#DIV/0!</v>
      </c>
      <c r="D31" s="117"/>
      <c r="E31" s="118" t="e">
        <f>D31/(D31+B31)</f>
        <v>#DIV/0!</v>
      </c>
    </row>
    <row r="32" spans="1:5" ht="15.75" thickBot="1">
      <c r="A32" s="111" t="s">
        <v>353</v>
      </c>
      <c r="B32" s="117"/>
      <c r="C32" s="118" t="e">
        <f>B32/(B32+D32)</f>
        <v>#DIV/0!</v>
      </c>
      <c r="D32" s="117"/>
      <c r="E32" s="118" t="e">
        <f>D32/(D32+B32)</f>
        <v>#DIV/0!</v>
      </c>
    </row>
    <row r="33" spans="1:5" ht="15.75" thickBot="1">
      <c r="A33" s="111" t="s">
        <v>354</v>
      </c>
      <c r="B33" s="117"/>
      <c r="C33" s="118" t="e">
        <f>B33/(B33+D33)</f>
        <v>#DIV/0!</v>
      </c>
      <c r="D33" s="117"/>
      <c r="E33" s="118" t="e">
        <f>D33/(D33+B33)</f>
        <v>#DIV/0!</v>
      </c>
    </row>
    <row r="34" spans="1:5" ht="15.75" thickBot="1">
      <c r="A34" s="111" t="s">
        <v>355</v>
      </c>
      <c r="B34" s="117"/>
      <c r="C34" s="118" t="e">
        <f>B34/(B34+D34)</f>
        <v>#DIV/0!</v>
      </c>
      <c r="D34" s="117"/>
      <c r="E34" s="118" t="e">
        <f>D34/(D34+B34)</f>
        <v>#DIV/0!</v>
      </c>
    </row>
    <row r="35" spans="1:5" ht="15.75" thickBot="1">
      <c r="A35" s="344" t="s">
        <v>0</v>
      </c>
      <c r="B35" s="345">
        <f>SUM(B31:B34)</f>
        <v>0</v>
      </c>
      <c r="C35" s="118" t="e">
        <f>B35/(B35+D35)</f>
        <v>#DIV/0!</v>
      </c>
      <c r="D35" s="345">
        <f>SUM(D31:D34)</f>
        <v>0</v>
      </c>
      <c r="E35" s="118" t="e">
        <f>D35/(D35+B35)</f>
        <v>#DIV/0!</v>
      </c>
    </row>
  </sheetData>
  <mergeCells count="7">
    <mergeCell ref="A3:Q3"/>
    <mergeCell ref="A1:Q2"/>
    <mergeCell ref="B29:E29"/>
    <mergeCell ref="A4:Q4"/>
    <mergeCell ref="B7:E7"/>
    <mergeCell ref="B18:E18"/>
    <mergeCell ref="A5:G6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56"/>
  <sheetViews>
    <sheetView showGridLines="0" zoomScale="81" zoomScaleNormal="81" workbookViewId="0">
      <selection activeCell="J13" sqref="J13"/>
    </sheetView>
  </sheetViews>
  <sheetFormatPr defaultRowHeight="12.75"/>
  <cols>
    <col min="4" max="4" width="10.85546875" bestFit="1" customWidth="1"/>
    <col min="6" max="6" width="10.28515625" bestFit="1" customWidth="1"/>
  </cols>
  <sheetData>
    <row r="1" spans="1:19" ht="19.5">
      <c r="B1" s="1648" t="s">
        <v>148</v>
      </c>
      <c r="C1" s="1418"/>
      <c r="D1" s="1418"/>
      <c r="E1" s="1418"/>
      <c r="F1" s="1418"/>
      <c r="G1" s="1418"/>
      <c r="H1" s="1418"/>
      <c r="I1" s="1418"/>
      <c r="J1" s="1418"/>
      <c r="K1" s="1418"/>
      <c r="L1" s="1418"/>
      <c r="M1" s="1418"/>
      <c r="N1" s="1418"/>
    </row>
    <row r="2" spans="1:19" ht="19.5">
      <c r="B2" s="1648" t="s">
        <v>390</v>
      </c>
      <c r="C2" s="1418"/>
      <c r="D2" s="1418"/>
      <c r="E2" s="1418"/>
      <c r="F2" s="1418"/>
      <c r="G2" s="1418"/>
      <c r="H2" s="1418"/>
      <c r="I2" s="1418"/>
      <c r="J2" s="1418"/>
      <c r="K2" s="1418"/>
      <c r="L2" s="1418"/>
      <c r="M2" s="1418"/>
      <c r="N2" s="1418"/>
    </row>
    <row r="3" spans="1:19" ht="19.5">
      <c r="B3" s="3"/>
      <c r="C3" s="1649" t="s">
        <v>83</v>
      </c>
      <c r="D3" s="1649"/>
      <c r="E3" s="3"/>
      <c r="F3" s="1648"/>
      <c r="G3" s="1418"/>
      <c r="H3" s="1418"/>
      <c r="I3" s="1418"/>
      <c r="J3" s="1370"/>
      <c r="K3" s="1370"/>
    </row>
    <row r="4" spans="1:19" ht="15" thickBot="1">
      <c r="A4" s="2"/>
      <c r="B4" s="58"/>
      <c r="C4" s="59"/>
      <c r="D4" s="59"/>
      <c r="E4" s="59"/>
      <c r="F4" s="49"/>
      <c r="G4" s="49"/>
      <c r="H4" s="50"/>
      <c r="I4" s="49"/>
      <c r="J4" s="50"/>
    </row>
    <row r="5" spans="1:19" ht="25.5" customHeight="1" thickBot="1">
      <c r="A5" s="55"/>
      <c r="B5" s="54"/>
      <c r="C5" s="1413" t="s">
        <v>83</v>
      </c>
      <c r="D5" s="1412"/>
      <c r="E5" s="1412"/>
      <c r="F5" s="1412"/>
      <c r="G5" s="1650" t="s">
        <v>392</v>
      </c>
      <c r="H5" s="1651"/>
      <c r="I5" s="49"/>
      <c r="J5" s="50"/>
      <c r="R5" s="1418"/>
      <c r="S5" s="1418"/>
    </row>
    <row r="6" spans="1:19" ht="18.75" customHeight="1" thickBot="1">
      <c r="A6" s="55"/>
      <c r="B6" s="111" t="s">
        <v>84</v>
      </c>
      <c r="C6" s="110" t="s">
        <v>85</v>
      </c>
      <c r="D6" s="110" t="s">
        <v>138</v>
      </c>
      <c r="E6" s="110" t="s">
        <v>86</v>
      </c>
      <c r="F6" s="110" t="s">
        <v>139</v>
      </c>
      <c r="G6" s="1650"/>
      <c r="H6" s="1651"/>
      <c r="I6" s="49"/>
      <c r="J6" s="50"/>
      <c r="Q6" s="1"/>
    </row>
    <row r="7" spans="1:19" ht="18.75" thickBot="1">
      <c r="A7" s="55"/>
      <c r="B7" s="111" t="s">
        <v>12</v>
      </c>
      <c r="C7" s="117">
        <v>22</v>
      </c>
      <c r="D7" s="123">
        <f t="shared" ref="D7:D12" si="0">C7/(C7+E7)</f>
        <v>0.95652173913043481</v>
      </c>
      <c r="E7" s="117">
        <v>1</v>
      </c>
      <c r="F7" s="338">
        <f t="shared" ref="F7:F12" si="1">E7/(E7+C7)</f>
        <v>4.3478260869565216E-2</v>
      </c>
      <c r="G7" s="1646">
        <v>23</v>
      </c>
      <c r="H7" s="1647"/>
      <c r="I7" s="49"/>
      <c r="J7" s="50"/>
      <c r="N7" s="81"/>
      <c r="R7" s="19"/>
    </row>
    <row r="8" spans="1:19" ht="18.75" thickBot="1">
      <c r="A8" s="55"/>
      <c r="B8" s="111" t="s">
        <v>11</v>
      </c>
      <c r="C8" s="117">
        <v>23</v>
      </c>
      <c r="D8" s="123">
        <f t="shared" si="0"/>
        <v>0.88461538461538458</v>
      </c>
      <c r="E8" s="117">
        <v>3</v>
      </c>
      <c r="F8" s="338">
        <f t="shared" si="1"/>
        <v>0.11538461538461539</v>
      </c>
      <c r="G8" s="1646">
        <v>26</v>
      </c>
      <c r="H8" s="1647"/>
      <c r="I8" s="49"/>
      <c r="J8" s="50"/>
    </row>
    <row r="9" spans="1:19" ht="18.75" thickBot="1">
      <c r="A9" s="55"/>
      <c r="B9" s="111" t="s">
        <v>10</v>
      </c>
      <c r="C9" s="117">
        <v>20</v>
      </c>
      <c r="D9" s="123">
        <f t="shared" si="0"/>
        <v>0.76923076923076927</v>
      </c>
      <c r="E9" s="117">
        <v>6</v>
      </c>
      <c r="F9" s="338">
        <f t="shared" si="1"/>
        <v>0.23076923076923078</v>
      </c>
      <c r="G9" s="1646">
        <v>26</v>
      </c>
      <c r="H9" s="1647"/>
      <c r="I9" s="49"/>
      <c r="J9" s="50"/>
    </row>
    <row r="10" spans="1:19" ht="18.75" thickBot="1">
      <c r="A10" s="55"/>
      <c r="B10" s="111" t="s">
        <v>9</v>
      </c>
      <c r="C10" s="117">
        <v>24</v>
      </c>
      <c r="D10" s="123">
        <f t="shared" si="0"/>
        <v>0.8571428571428571</v>
      </c>
      <c r="E10" s="117">
        <v>4</v>
      </c>
      <c r="F10" s="338">
        <f t="shared" si="1"/>
        <v>0.14285714285714285</v>
      </c>
      <c r="G10" s="1646">
        <v>28</v>
      </c>
      <c r="H10" s="1647"/>
      <c r="I10" s="49"/>
      <c r="J10" s="50"/>
    </row>
    <row r="11" spans="1:19" ht="18.75" thickBot="1">
      <c r="A11" s="55"/>
      <c r="B11" s="111" t="s">
        <v>8</v>
      </c>
      <c r="C11" s="117">
        <v>17</v>
      </c>
      <c r="D11" s="123">
        <f t="shared" si="0"/>
        <v>0.80952380952380953</v>
      </c>
      <c r="E11" s="117">
        <v>4</v>
      </c>
      <c r="F11" s="338">
        <f t="shared" si="1"/>
        <v>0.19047619047619047</v>
      </c>
      <c r="G11" s="1646">
        <v>12</v>
      </c>
      <c r="H11" s="1647"/>
      <c r="I11" s="15"/>
      <c r="J11" s="53"/>
    </row>
    <row r="12" spans="1:19" ht="18.75" thickBot="1">
      <c r="B12" s="119" t="s">
        <v>0</v>
      </c>
      <c r="C12" s="124">
        <f>SUM(C7:C11)</f>
        <v>106</v>
      </c>
      <c r="D12" s="125">
        <f t="shared" si="0"/>
        <v>0.85483870967741937</v>
      </c>
      <c r="E12" s="124">
        <f>SUM(E7:E11)</f>
        <v>18</v>
      </c>
      <c r="F12" s="125">
        <f t="shared" si="1"/>
        <v>0.14516129032258066</v>
      </c>
      <c r="G12" s="1652">
        <f>SUM(G7:H11)</f>
        <v>115</v>
      </c>
      <c r="H12" s="1653"/>
    </row>
    <row r="21" spans="1:26">
      <c r="A21" s="55"/>
      <c r="B21" s="55"/>
      <c r="C21" s="55"/>
      <c r="D21" s="55"/>
      <c r="E21" s="2"/>
    </row>
    <row r="22" spans="1:26" ht="14.25">
      <c r="A22" s="55"/>
      <c r="B22" s="56"/>
      <c r="C22" s="56"/>
      <c r="D22" s="55"/>
      <c r="E22" s="71"/>
    </row>
    <row r="23" spans="1:26" ht="14.25">
      <c r="A23" s="55"/>
      <c r="B23" s="56"/>
      <c r="C23" s="56"/>
      <c r="D23" s="55"/>
      <c r="E23" s="71"/>
    </row>
    <row r="24" spans="1:26" ht="14.25">
      <c r="A24" s="55"/>
      <c r="B24" s="72"/>
      <c r="C24" s="22"/>
      <c r="D24" s="22"/>
      <c r="E24" s="15"/>
      <c r="F24" s="57"/>
      <c r="G24" s="49"/>
      <c r="H24" s="57"/>
      <c r="I24" s="49"/>
      <c r="J24" s="57"/>
      <c r="R24" s="19"/>
      <c r="S24" s="19"/>
    </row>
    <row r="25" spans="1:26" ht="14.25">
      <c r="A25" s="71"/>
      <c r="B25" s="58"/>
      <c r="C25" s="59"/>
      <c r="D25" s="59"/>
      <c r="E25" s="60"/>
      <c r="F25" s="49"/>
      <c r="G25" s="61"/>
      <c r="H25" s="50"/>
      <c r="I25" s="61"/>
      <c r="J25" s="50"/>
      <c r="K25" s="16"/>
      <c r="L25" s="16"/>
      <c r="R25" s="19"/>
      <c r="S25" s="19"/>
    </row>
    <row r="26" spans="1:26" ht="14.25">
      <c r="A26" s="73"/>
      <c r="B26" s="59"/>
      <c r="C26" s="64"/>
      <c r="D26" s="64"/>
      <c r="E26" s="60"/>
      <c r="F26" s="49"/>
      <c r="G26" s="61"/>
      <c r="H26" s="50"/>
      <c r="I26" s="61"/>
      <c r="J26" s="50"/>
      <c r="K26" s="15"/>
      <c r="L26" s="15"/>
      <c r="R26" s="19"/>
      <c r="S26" s="19"/>
    </row>
    <row r="27" spans="1:26" ht="14.25">
      <c r="A27" s="73"/>
      <c r="B27" s="59"/>
      <c r="C27" s="64"/>
      <c r="D27" s="64"/>
      <c r="E27" s="55"/>
      <c r="F27" s="49"/>
      <c r="G27" s="61"/>
      <c r="H27" s="50"/>
      <c r="I27" s="61"/>
      <c r="J27" s="50"/>
      <c r="K27" s="63"/>
      <c r="L27" s="63"/>
      <c r="R27" s="19"/>
      <c r="S27" s="19"/>
      <c r="Z27" s="193"/>
    </row>
    <row r="28" spans="1:26" ht="14.25">
      <c r="A28" s="73"/>
      <c r="B28" s="59"/>
      <c r="C28" s="64"/>
      <c r="D28" s="64"/>
      <c r="E28" s="55"/>
      <c r="F28" s="49"/>
      <c r="G28" s="61"/>
      <c r="H28" s="50"/>
      <c r="I28" s="61"/>
      <c r="J28" s="50"/>
      <c r="K28" s="63"/>
      <c r="L28" s="63"/>
      <c r="R28" s="19"/>
      <c r="S28" s="19"/>
    </row>
    <row r="29" spans="1:26" ht="14.25">
      <c r="A29" s="73"/>
      <c r="B29" s="59"/>
      <c r="C29" s="64"/>
      <c r="D29" s="64"/>
      <c r="E29" s="55"/>
      <c r="F29" s="49"/>
      <c r="G29" s="61"/>
      <c r="H29" s="50"/>
      <c r="I29" s="61"/>
      <c r="J29" s="50"/>
      <c r="K29" s="63"/>
      <c r="L29" s="63"/>
    </row>
    <row r="30" spans="1:26" ht="14.25">
      <c r="A30" s="73"/>
      <c r="B30" s="59"/>
      <c r="C30" s="64"/>
      <c r="D30" s="64"/>
      <c r="E30" s="55"/>
      <c r="F30" s="49"/>
      <c r="G30" s="61"/>
      <c r="H30" s="50"/>
      <c r="I30" s="61"/>
      <c r="J30" s="50"/>
      <c r="K30" s="63"/>
      <c r="L30" s="63"/>
    </row>
    <row r="31" spans="1:26" ht="14.25">
      <c r="A31" s="73"/>
      <c r="B31" s="59"/>
      <c r="C31" s="64"/>
      <c r="D31" s="64"/>
      <c r="E31" s="55"/>
      <c r="F31" s="49"/>
      <c r="G31" s="61"/>
      <c r="H31" s="50"/>
      <c r="I31" s="61"/>
      <c r="J31" s="50"/>
      <c r="K31" s="63"/>
      <c r="L31" s="63"/>
      <c r="Q31" s="48"/>
      <c r="R31" s="3"/>
      <c r="S31" s="3"/>
    </row>
    <row r="32" spans="1:26">
      <c r="A32" s="71"/>
      <c r="B32" s="59"/>
      <c r="C32" s="64"/>
      <c r="D32" s="64"/>
      <c r="E32" s="55"/>
      <c r="J32" s="15"/>
      <c r="K32" s="63"/>
      <c r="L32" s="63"/>
      <c r="Q32" s="3"/>
      <c r="R32" s="65"/>
      <c r="S32" s="65"/>
    </row>
    <row r="33" spans="1:19" ht="13.5" thickBot="1">
      <c r="B33" s="55"/>
      <c r="C33" s="55"/>
      <c r="D33" s="55"/>
      <c r="E33" s="55"/>
      <c r="J33" s="15"/>
      <c r="K33" s="63"/>
      <c r="L33" s="63"/>
      <c r="Q33" s="3"/>
      <c r="R33" s="65"/>
      <c r="S33" s="65"/>
    </row>
    <row r="34" spans="1:19" ht="29.25" customHeight="1" thickBot="1">
      <c r="B34" s="54"/>
      <c r="C34" s="1413" t="s">
        <v>83</v>
      </c>
      <c r="D34" s="1412"/>
      <c r="E34" s="1412"/>
      <c r="F34" s="1412"/>
      <c r="G34" s="1650" t="s">
        <v>392</v>
      </c>
      <c r="H34" s="1651"/>
      <c r="Q34" s="3"/>
      <c r="R34" s="65"/>
      <c r="S34" s="65"/>
    </row>
    <row r="35" spans="1:19" ht="24" customHeight="1" thickBot="1">
      <c r="B35" s="111" t="s">
        <v>84</v>
      </c>
      <c r="C35" s="110" t="s">
        <v>85</v>
      </c>
      <c r="D35" s="110" t="s">
        <v>138</v>
      </c>
      <c r="E35" s="110" t="s">
        <v>86</v>
      </c>
      <c r="F35" s="110" t="s">
        <v>139</v>
      </c>
      <c r="G35" s="1650"/>
      <c r="H35" s="1651"/>
      <c r="Q35" s="3"/>
      <c r="R35" s="65"/>
      <c r="S35" s="65"/>
    </row>
    <row r="36" spans="1:19" ht="18.75" thickBot="1">
      <c r="B36" s="111" t="s">
        <v>33</v>
      </c>
      <c r="C36" s="117">
        <v>23</v>
      </c>
      <c r="D36" s="123">
        <f t="shared" ref="D36:D43" si="2">C36/(C36+E36)</f>
        <v>0.8214285714285714</v>
      </c>
      <c r="E36" s="117">
        <v>5</v>
      </c>
      <c r="F36" s="123">
        <f t="shared" ref="F36:F43" si="3">E36/(E36+C36)</f>
        <v>0.17857142857142858</v>
      </c>
      <c r="G36" s="1646">
        <v>12</v>
      </c>
      <c r="H36" s="1647"/>
      <c r="Q36" s="3"/>
      <c r="R36" s="65"/>
      <c r="S36" s="65"/>
    </row>
    <row r="37" spans="1:19" ht="18.75" thickBot="1">
      <c r="B37" s="111" t="s">
        <v>32</v>
      </c>
      <c r="C37" s="117">
        <v>15</v>
      </c>
      <c r="D37" s="123">
        <f t="shared" si="2"/>
        <v>0.78947368421052633</v>
      </c>
      <c r="E37" s="117">
        <v>4</v>
      </c>
      <c r="F37" s="123">
        <f t="shared" si="3"/>
        <v>0.21052631578947367</v>
      </c>
      <c r="G37" s="1646">
        <v>19</v>
      </c>
      <c r="H37" s="1647"/>
      <c r="Q37" s="3"/>
      <c r="R37" s="65"/>
      <c r="S37" s="65"/>
    </row>
    <row r="38" spans="1:19" ht="18.75" thickBot="1">
      <c r="B38" s="111" t="s">
        <v>31</v>
      </c>
      <c r="C38" s="117">
        <v>14</v>
      </c>
      <c r="D38" s="123">
        <f t="shared" si="2"/>
        <v>0.73684210526315785</v>
      </c>
      <c r="E38" s="117">
        <v>5</v>
      </c>
      <c r="F38" s="123">
        <f t="shared" si="3"/>
        <v>0.26315789473684209</v>
      </c>
      <c r="G38" s="1646">
        <v>20</v>
      </c>
      <c r="H38" s="1647"/>
      <c r="Q38" s="3"/>
      <c r="R38" s="65"/>
      <c r="S38" s="65"/>
    </row>
    <row r="39" spans="1:19" ht="18.75" thickBot="1">
      <c r="B39" s="111" t="s">
        <v>30</v>
      </c>
      <c r="C39" s="117">
        <v>16</v>
      </c>
      <c r="D39" s="123">
        <f t="shared" si="2"/>
        <v>0.64</v>
      </c>
      <c r="E39" s="117">
        <v>9</v>
      </c>
      <c r="F39" s="123">
        <f t="shared" si="3"/>
        <v>0.36</v>
      </c>
      <c r="G39" s="1646">
        <v>25</v>
      </c>
      <c r="H39" s="1647"/>
    </row>
    <row r="40" spans="1:19" ht="18.75" thickBot="1">
      <c r="B40" s="111" t="s">
        <v>29</v>
      </c>
      <c r="C40" s="117">
        <v>20</v>
      </c>
      <c r="D40" s="123">
        <f t="shared" si="2"/>
        <v>0.8</v>
      </c>
      <c r="E40" s="117">
        <v>5</v>
      </c>
      <c r="F40" s="123">
        <f t="shared" si="3"/>
        <v>0.2</v>
      </c>
      <c r="G40" s="1646">
        <v>12</v>
      </c>
      <c r="H40" s="1647"/>
    </row>
    <row r="41" spans="1:19" ht="18.75" thickBot="1">
      <c r="B41" s="111" t="s">
        <v>28</v>
      </c>
      <c r="C41" s="117">
        <v>9</v>
      </c>
      <c r="D41" s="123">
        <f t="shared" si="2"/>
        <v>0.69230769230769229</v>
      </c>
      <c r="E41" s="117">
        <v>4</v>
      </c>
      <c r="F41" s="123">
        <f t="shared" si="3"/>
        <v>0.30769230769230771</v>
      </c>
      <c r="G41" s="1646">
        <v>12</v>
      </c>
      <c r="H41" s="1647"/>
    </row>
    <row r="42" spans="1:19" ht="18.75" thickBot="1">
      <c r="B42" s="111" t="s">
        <v>27</v>
      </c>
      <c r="C42" s="117">
        <v>13</v>
      </c>
      <c r="D42" s="123">
        <f t="shared" si="2"/>
        <v>0.68421052631578949</v>
      </c>
      <c r="E42" s="117">
        <v>6</v>
      </c>
      <c r="F42" s="123">
        <f t="shared" si="3"/>
        <v>0.31578947368421051</v>
      </c>
      <c r="G42" s="1646">
        <v>20</v>
      </c>
      <c r="H42" s="1647"/>
    </row>
    <row r="43" spans="1:19" ht="18.75" thickBot="1">
      <c r="B43" s="119" t="s">
        <v>0</v>
      </c>
      <c r="C43" s="124">
        <f>SUM(C36:C42)</f>
        <v>110</v>
      </c>
      <c r="D43" s="125">
        <f t="shared" si="2"/>
        <v>0.7432432432432432</v>
      </c>
      <c r="E43" s="124">
        <f>SUM(E36:E42)</f>
        <v>38</v>
      </c>
      <c r="F43" s="125">
        <f t="shared" si="3"/>
        <v>0.25675675675675674</v>
      </c>
      <c r="G43" s="1652">
        <f>SUM(G36:H42)</f>
        <v>120</v>
      </c>
      <c r="H43" s="1653"/>
    </row>
    <row r="44" spans="1:19">
      <c r="A44" s="55"/>
      <c r="B44" s="60"/>
      <c r="C44" s="1654"/>
      <c r="D44" s="1654"/>
      <c r="E44" s="74"/>
    </row>
    <row r="45" spans="1:19" ht="14.25">
      <c r="A45" s="55"/>
      <c r="B45" s="21"/>
      <c r="C45" s="51"/>
      <c r="D45" s="55"/>
      <c r="E45" s="71"/>
      <c r="G45" s="75"/>
      <c r="H45" s="76"/>
    </row>
    <row r="46" spans="1:19" ht="14.25">
      <c r="A46" s="55"/>
      <c r="B46" s="56"/>
      <c r="C46" s="51"/>
      <c r="D46" s="55"/>
      <c r="E46" s="71"/>
      <c r="G46" s="77"/>
      <c r="H46" s="76"/>
    </row>
    <row r="47" spans="1:19">
      <c r="A47" s="55"/>
      <c r="B47" s="55"/>
      <c r="C47" s="55"/>
      <c r="D47" s="55"/>
    </row>
    <row r="48" spans="1:19">
      <c r="A48" s="55"/>
      <c r="B48" s="55"/>
      <c r="C48" s="55"/>
      <c r="D48" s="55"/>
    </row>
    <row r="55" spans="2:4">
      <c r="C55" s="1418"/>
      <c r="D55" s="1418"/>
    </row>
    <row r="56" spans="2:4">
      <c r="B56" s="1"/>
    </row>
  </sheetData>
  <mergeCells count="25">
    <mergeCell ref="C55:D55"/>
    <mergeCell ref="C44:D44"/>
    <mergeCell ref="G40:H40"/>
    <mergeCell ref="G43:H43"/>
    <mergeCell ref="G41:H41"/>
    <mergeCell ref="G42:H42"/>
    <mergeCell ref="R5:S5"/>
    <mergeCell ref="C34:F34"/>
    <mergeCell ref="G7:H7"/>
    <mergeCell ref="G8:H8"/>
    <mergeCell ref="G9:H9"/>
    <mergeCell ref="G10:H10"/>
    <mergeCell ref="G11:H11"/>
    <mergeCell ref="G12:H12"/>
    <mergeCell ref="G34:H35"/>
    <mergeCell ref="G39:H39"/>
    <mergeCell ref="G36:H36"/>
    <mergeCell ref="G37:H37"/>
    <mergeCell ref="G38:H38"/>
    <mergeCell ref="B1:N1"/>
    <mergeCell ref="B2:N2"/>
    <mergeCell ref="C3:D3"/>
    <mergeCell ref="G5:H6"/>
    <mergeCell ref="F3:K3"/>
    <mergeCell ref="C5:F5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useFirstPageNumber="1" r:id="rId1"/>
  <headerFooter>
    <oddHeader>&amp;L&amp;"Trebuchet MS,Negrito"&amp;12&amp;K01+018AGRUPAMENTO DE ESCOLAS MIGUEL TORGA&amp;C
&amp;R&amp;"Trebuchet MS,Negrito itálico"&amp;12AUTO - AVALIAÇÃO
2ºPeríodo  2011/12
Tabela XXVIII</oddHeader>
    <oddFooter>&amp;C
&amp;R28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44"/>
  <sheetViews>
    <sheetView showGridLines="0" topLeftCell="A16" zoomScale="81" zoomScaleNormal="81" zoomScalePageLayoutView="60" workbookViewId="0">
      <selection activeCell="C49" sqref="C49"/>
    </sheetView>
  </sheetViews>
  <sheetFormatPr defaultRowHeight="12.75"/>
  <cols>
    <col min="2" max="2" width="10" bestFit="1" customWidth="1"/>
    <col min="3" max="3" width="11.7109375" bestFit="1" customWidth="1"/>
    <col min="5" max="5" width="10.85546875" bestFit="1" customWidth="1"/>
  </cols>
  <sheetData>
    <row r="1" spans="1:13" ht="15" customHeight="1">
      <c r="A1" s="1655" t="s">
        <v>146</v>
      </c>
      <c r="B1" s="1655"/>
      <c r="C1" s="1655"/>
      <c r="D1" s="1655"/>
      <c r="E1" s="1655"/>
      <c r="F1" s="1655"/>
      <c r="G1" s="1655"/>
      <c r="H1" s="1655"/>
      <c r="I1" s="1655"/>
      <c r="J1" s="1655"/>
      <c r="K1" s="1655"/>
      <c r="L1" s="1655"/>
      <c r="M1" s="1655"/>
    </row>
    <row r="2" spans="1:13" ht="18.75">
      <c r="A2" s="1655" t="s">
        <v>391</v>
      </c>
      <c r="B2" s="1655"/>
      <c r="C2" s="1655"/>
      <c r="D2" s="1655"/>
      <c r="E2" s="1655"/>
      <c r="F2" s="1655"/>
      <c r="G2" s="1655"/>
      <c r="H2" s="1655"/>
      <c r="I2" s="1655"/>
      <c r="J2" s="1655"/>
      <c r="K2" s="1655"/>
      <c r="L2" s="1655"/>
      <c r="M2" s="1655"/>
    </row>
    <row r="3" spans="1:13" ht="19.5">
      <c r="A3" s="18"/>
      <c r="B3" s="58"/>
      <c r="C3" s="59"/>
      <c r="D3" s="59"/>
      <c r="E3" s="59"/>
      <c r="F3" s="1648"/>
      <c r="G3" s="1418"/>
      <c r="H3" s="1418"/>
      <c r="I3" s="1418"/>
      <c r="J3" s="1370"/>
      <c r="K3" s="1370"/>
    </row>
    <row r="4" spans="1:13" ht="15" thickBot="1">
      <c r="A4" s="18"/>
      <c r="B4" s="59"/>
      <c r="C4" s="59"/>
      <c r="D4" s="59"/>
      <c r="E4" s="59"/>
      <c r="F4" s="49"/>
      <c r="G4" s="49"/>
      <c r="H4" s="50"/>
      <c r="I4" s="49"/>
      <c r="J4" s="50"/>
    </row>
    <row r="5" spans="1:13" ht="27" customHeight="1" thickBot="1">
      <c r="A5" s="54"/>
      <c r="B5" s="1413" t="s">
        <v>83</v>
      </c>
      <c r="C5" s="1412"/>
      <c r="D5" s="1412"/>
      <c r="E5" s="1412"/>
      <c r="F5" s="1650" t="s">
        <v>392</v>
      </c>
      <c r="G5" s="1651"/>
      <c r="H5" s="50"/>
      <c r="I5" s="49"/>
      <c r="J5" s="50"/>
    </row>
    <row r="6" spans="1:13" ht="20.25" customHeight="1" thickBot="1">
      <c r="A6" s="111" t="s">
        <v>84</v>
      </c>
      <c r="B6" s="110" t="s">
        <v>85</v>
      </c>
      <c r="C6" s="110" t="s">
        <v>138</v>
      </c>
      <c r="D6" s="110" t="s">
        <v>86</v>
      </c>
      <c r="E6" s="110" t="s">
        <v>139</v>
      </c>
      <c r="F6" s="1650"/>
      <c r="G6" s="1651"/>
      <c r="H6" s="50"/>
      <c r="I6" s="49"/>
      <c r="J6" s="50"/>
    </row>
    <row r="7" spans="1:13" ht="18.75" thickBot="1">
      <c r="A7" s="111" t="s">
        <v>40</v>
      </c>
      <c r="B7" s="117">
        <v>19</v>
      </c>
      <c r="C7" s="123">
        <f t="shared" ref="C7:C13" si="0">B7/(B7+D7)</f>
        <v>0.65517241379310343</v>
      </c>
      <c r="D7" s="117">
        <v>10</v>
      </c>
      <c r="E7" s="123">
        <f t="shared" ref="E7:E12" si="1">D7/(B7+D7)</f>
        <v>0.34482758620689657</v>
      </c>
      <c r="F7" s="1646">
        <v>29</v>
      </c>
      <c r="G7" s="1647"/>
      <c r="H7" s="50"/>
      <c r="I7" s="49"/>
      <c r="J7" s="50"/>
    </row>
    <row r="8" spans="1:13" ht="18.75" thickBot="1">
      <c r="A8" s="111" t="s">
        <v>39</v>
      </c>
      <c r="B8" s="117">
        <v>23</v>
      </c>
      <c r="C8" s="123">
        <f t="shared" si="0"/>
        <v>0.85185185185185186</v>
      </c>
      <c r="D8" s="117">
        <v>4</v>
      </c>
      <c r="E8" s="123">
        <f t="shared" si="1"/>
        <v>0.14814814814814814</v>
      </c>
      <c r="F8" s="1646">
        <v>27</v>
      </c>
      <c r="G8" s="1647"/>
      <c r="H8" s="50"/>
      <c r="I8" s="49"/>
      <c r="J8" s="50"/>
    </row>
    <row r="9" spans="1:13" ht="18.75" thickBot="1">
      <c r="A9" s="111" t="s">
        <v>38</v>
      </c>
      <c r="B9" s="117">
        <v>19</v>
      </c>
      <c r="C9" s="123">
        <f t="shared" si="0"/>
        <v>0.86363636363636365</v>
      </c>
      <c r="D9" s="117">
        <v>3</v>
      </c>
      <c r="E9" s="123">
        <f t="shared" si="1"/>
        <v>0.13636363636363635</v>
      </c>
      <c r="F9" s="1646">
        <v>22</v>
      </c>
      <c r="G9" s="1647"/>
      <c r="H9" s="50"/>
      <c r="I9" s="49"/>
      <c r="J9" s="50"/>
    </row>
    <row r="10" spans="1:13" ht="18.75" thickBot="1">
      <c r="A10" s="111" t="s">
        <v>37</v>
      </c>
      <c r="B10" s="117">
        <v>24</v>
      </c>
      <c r="C10" s="123">
        <f t="shared" si="0"/>
        <v>0.8571428571428571</v>
      </c>
      <c r="D10" s="117">
        <v>4</v>
      </c>
      <c r="E10" s="123">
        <f t="shared" si="1"/>
        <v>0.14285714285714285</v>
      </c>
      <c r="F10" s="1646">
        <v>28</v>
      </c>
      <c r="G10" s="1647"/>
      <c r="H10" s="50"/>
      <c r="I10" s="49"/>
      <c r="J10" s="50"/>
    </row>
    <row r="11" spans="1:13" ht="18.75" thickBot="1">
      <c r="A11" s="111" t="s">
        <v>36</v>
      </c>
      <c r="B11" s="117">
        <v>24</v>
      </c>
      <c r="C11" s="123">
        <f t="shared" si="0"/>
        <v>0.82758620689655171</v>
      </c>
      <c r="D11" s="117">
        <v>5</v>
      </c>
      <c r="E11" s="123">
        <f t="shared" si="1"/>
        <v>0.17241379310344829</v>
      </c>
      <c r="F11" s="1646">
        <v>29</v>
      </c>
      <c r="G11" s="1647"/>
      <c r="H11" s="53"/>
      <c r="I11" s="15"/>
      <c r="J11" s="53"/>
    </row>
    <row r="12" spans="1:13" ht="18.75" thickBot="1">
      <c r="A12" s="111" t="s">
        <v>35</v>
      </c>
      <c r="B12" s="117">
        <v>24</v>
      </c>
      <c r="C12" s="123">
        <f t="shared" si="0"/>
        <v>0.92307692307692313</v>
      </c>
      <c r="D12" s="117">
        <v>2</v>
      </c>
      <c r="E12" s="123">
        <f t="shared" si="1"/>
        <v>7.6923076923076927E-2</v>
      </c>
      <c r="F12" s="1646">
        <v>26</v>
      </c>
      <c r="G12" s="1647"/>
    </row>
    <row r="13" spans="1:13" ht="18.75" thickBot="1">
      <c r="A13" s="119" t="s">
        <v>0</v>
      </c>
      <c r="B13" s="124">
        <f>SUM(B7:B12)</f>
        <v>133</v>
      </c>
      <c r="C13" s="125">
        <f t="shared" si="0"/>
        <v>0.82608695652173914</v>
      </c>
      <c r="D13" s="124">
        <f>SUM(D7:D12)</f>
        <v>28</v>
      </c>
      <c r="E13" s="125">
        <f>D13/(D13+B13)</f>
        <v>0.17391304347826086</v>
      </c>
      <c r="F13" s="1652">
        <f>SUM(F7:G12)</f>
        <v>161</v>
      </c>
      <c r="G13" s="1653"/>
    </row>
    <row r="15" spans="1:13" ht="14.25">
      <c r="A15" s="2"/>
      <c r="B15" s="59"/>
      <c r="C15" s="64"/>
      <c r="D15" s="64"/>
      <c r="E15" s="59"/>
      <c r="F15" s="66"/>
      <c r="G15" s="61"/>
      <c r="H15" s="50"/>
      <c r="I15" s="61"/>
      <c r="J15" s="50"/>
      <c r="K15" s="63"/>
      <c r="L15" s="63"/>
    </row>
    <row r="16" spans="1:13" ht="15" thickBot="1">
      <c r="A16" s="2"/>
      <c r="B16" s="59"/>
      <c r="C16" s="64"/>
      <c r="D16" s="64"/>
      <c r="E16" s="59"/>
      <c r="F16" s="66"/>
      <c r="G16" s="61"/>
      <c r="H16" s="50"/>
      <c r="I16" s="61"/>
      <c r="J16" s="50"/>
      <c r="K16" s="63"/>
      <c r="L16" s="63"/>
    </row>
    <row r="17" spans="1:12" ht="26.25" customHeight="1" thickBot="1">
      <c r="A17" s="54"/>
      <c r="B17" s="1413" t="s">
        <v>83</v>
      </c>
      <c r="C17" s="1412"/>
      <c r="D17" s="1412"/>
      <c r="E17" s="1412"/>
      <c r="F17" s="1650" t="s">
        <v>392</v>
      </c>
      <c r="G17" s="1651"/>
    </row>
    <row r="18" spans="1:12" ht="23.25" customHeight="1" thickBot="1">
      <c r="A18" s="111" t="s">
        <v>84</v>
      </c>
      <c r="B18" s="110" t="s">
        <v>85</v>
      </c>
      <c r="C18" s="110" t="s">
        <v>138</v>
      </c>
      <c r="D18" s="110" t="s">
        <v>86</v>
      </c>
      <c r="E18" s="110" t="s">
        <v>139</v>
      </c>
      <c r="F18" s="1650"/>
      <c r="G18" s="1651"/>
    </row>
    <row r="19" spans="1:12" ht="18.75" thickBot="1">
      <c r="A19" s="111" t="s">
        <v>45</v>
      </c>
      <c r="B19" s="117">
        <v>18</v>
      </c>
      <c r="C19" s="123">
        <f t="shared" ref="C19:C24" si="2">B19/(B19+D19)</f>
        <v>0.9</v>
      </c>
      <c r="D19" s="117">
        <v>2</v>
      </c>
      <c r="E19" s="123">
        <f>D19/(B19+D19)</f>
        <v>0.1</v>
      </c>
      <c r="F19" s="1646">
        <v>19</v>
      </c>
      <c r="G19" s="1647"/>
    </row>
    <row r="20" spans="1:12" ht="18.75" thickBot="1">
      <c r="A20" s="111" t="s">
        <v>46</v>
      </c>
      <c r="B20" s="117">
        <v>16</v>
      </c>
      <c r="C20" s="123">
        <f t="shared" si="2"/>
        <v>0.76190476190476186</v>
      </c>
      <c r="D20" s="117">
        <v>5</v>
      </c>
      <c r="E20" s="123">
        <f>D20/(B20+D20)</f>
        <v>0.23809523809523808</v>
      </c>
      <c r="F20" s="1646">
        <v>22</v>
      </c>
      <c r="G20" s="1647"/>
    </row>
    <row r="21" spans="1:12" ht="18.75" thickBot="1">
      <c r="A21" s="111" t="s">
        <v>47</v>
      </c>
      <c r="B21" s="117">
        <v>20</v>
      </c>
      <c r="C21" s="123">
        <f t="shared" si="2"/>
        <v>0.95238095238095233</v>
      </c>
      <c r="D21" s="117">
        <v>1</v>
      </c>
      <c r="E21" s="123">
        <f>D21/(B21+D21)</f>
        <v>4.7619047619047616E-2</v>
      </c>
      <c r="F21" s="1646">
        <v>19</v>
      </c>
      <c r="G21" s="1647"/>
    </row>
    <row r="22" spans="1:12" ht="18.75" thickBot="1">
      <c r="A22" s="111" t="s">
        <v>48</v>
      </c>
      <c r="B22" s="117">
        <v>20</v>
      </c>
      <c r="C22" s="123">
        <f t="shared" si="2"/>
        <v>0.86956521739130432</v>
      </c>
      <c r="D22" s="117">
        <v>3</v>
      </c>
      <c r="E22" s="123">
        <f>D22/(B22+D22)</f>
        <v>0.13043478260869565</v>
      </c>
      <c r="F22" s="1646">
        <v>23</v>
      </c>
      <c r="G22" s="1647"/>
    </row>
    <row r="23" spans="1:12" ht="18.75" thickBot="1">
      <c r="A23" s="111" t="s">
        <v>49</v>
      </c>
      <c r="B23" s="117">
        <v>15</v>
      </c>
      <c r="C23" s="123">
        <f t="shared" si="2"/>
        <v>0.88235294117647056</v>
      </c>
      <c r="D23" s="117">
        <v>2</v>
      </c>
      <c r="E23" s="123">
        <f>D23/(B23+D23)</f>
        <v>0.11764705882352941</v>
      </c>
      <c r="F23" s="1646">
        <v>17</v>
      </c>
      <c r="G23" s="1647"/>
    </row>
    <row r="24" spans="1:12" ht="18.75" thickBot="1">
      <c r="A24" s="119" t="s">
        <v>0</v>
      </c>
      <c r="B24" s="124">
        <f>SUM(B19:B23)</f>
        <v>89</v>
      </c>
      <c r="C24" s="125">
        <f t="shared" si="2"/>
        <v>0.87254901960784315</v>
      </c>
      <c r="D24" s="124">
        <f>SUM(D19:D23)</f>
        <v>13</v>
      </c>
      <c r="E24" s="125">
        <f>D24/(D24+B24)</f>
        <v>0.12745098039215685</v>
      </c>
      <c r="F24" s="1652">
        <f>SUM(F19:G23)</f>
        <v>100</v>
      </c>
      <c r="G24" s="1653"/>
    </row>
    <row r="25" spans="1:12" ht="14.25">
      <c r="B25" s="56"/>
      <c r="C25" s="67"/>
      <c r="D25" s="69"/>
      <c r="E25" s="68"/>
      <c r="H25" s="50"/>
      <c r="I25" s="61"/>
      <c r="J25" s="50"/>
      <c r="K25" s="15"/>
      <c r="L25" s="15"/>
    </row>
    <row r="26" spans="1:12" ht="14.25">
      <c r="F26" s="66"/>
      <c r="G26" s="52"/>
      <c r="H26" s="50"/>
      <c r="I26" s="61"/>
      <c r="J26" s="50"/>
      <c r="K26" s="63"/>
      <c r="L26" s="63"/>
    </row>
    <row r="27" spans="1:12" ht="15" thickBot="1">
      <c r="F27" s="66"/>
      <c r="G27" s="52"/>
      <c r="H27" s="50"/>
      <c r="I27" s="61"/>
      <c r="J27" s="50"/>
      <c r="K27" s="63"/>
      <c r="L27" s="63"/>
    </row>
    <row r="28" spans="1:12" ht="23.25" customHeight="1" thickBot="1">
      <c r="A28" s="54"/>
      <c r="B28" s="1413" t="s">
        <v>83</v>
      </c>
      <c r="C28" s="1412"/>
      <c r="D28" s="1412"/>
      <c r="E28" s="1412"/>
      <c r="F28" s="1650" t="s">
        <v>392</v>
      </c>
      <c r="G28" s="1651"/>
    </row>
    <row r="29" spans="1:12" ht="23.25" customHeight="1" thickBot="1">
      <c r="A29" s="111" t="s">
        <v>84</v>
      </c>
      <c r="B29" s="110" t="s">
        <v>85</v>
      </c>
      <c r="C29" s="110" t="s">
        <v>138</v>
      </c>
      <c r="D29" s="110" t="s">
        <v>86</v>
      </c>
      <c r="E29" s="110" t="s">
        <v>139</v>
      </c>
      <c r="F29" s="1650"/>
      <c r="G29" s="1651"/>
    </row>
    <row r="30" spans="1:12" ht="18.75" thickBot="1">
      <c r="A30" s="111" t="s">
        <v>51</v>
      </c>
      <c r="B30" s="117">
        <v>21</v>
      </c>
      <c r="C30" s="123">
        <f>B30/(B30+D30)</f>
        <v>0.80769230769230771</v>
      </c>
      <c r="D30" s="117">
        <v>5</v>
      </c>
      <c r="E30" s="123">
        <f>D30/(D30+B30)</f>
        <v>0.19230769230769232</v>
      </c>
      <c r="F30" s="1646">
        <v>26</v>
      </c>
      <c r="G30" s="1647"/>
    </row>
    <row r="31" spans="1:12" ht="18.75" thickBot="1">
      <c r="A31" s="111" t="s">
        <v>52</v>
      </c>
      <c r="B31" s="117">
        <v>17</v>
      </c>
      <c r="C31" s="123">
        <f>B31/(B31+D31)</f>
        <v>0.68</v>
      </c>
      <c r="D31" s="117">
        <v>8</v>
      </c>
      <c r="E31" s="123">
        <f>D31/(D31+B31)</f>
        <v>0.32</v>
      </c>
      <c r="F31" s="1646">
        <v>25</v>
      </c>
      <c r="G31" s="1647"/>
    </row>
    <row r="32" spans="1:12" ht="18.75" thickBot="1">
      <c r="A32" s="111" t="s">
        <v>53</v>
      </c>
      <c r="B32" s="117">
        <v>18</v>
      </c>
      <c r="C32" s="123">
        <f>B32/(B32+D32)</f>
        <v>0.94736842105263153</v>
      </c>
      <c r="D32" s="117">
        <v>1</v>
      </c>
      <c r="E32" s="123">
        <f>D32/(D32+B32)</f>
        <v>5.2631578947368418E-2</v>
      </c>
      <c r="F32" s="1646">
        <v>19</v>
      </c>
      <c r="G32" s="1647"/>
    </row>
    <row r="33" spans="1:12" ht="18.75" thickBot="1">
      <c r="A33" s="111" t="s">
        <v>54</v>
      </c>
      <c r="B33" s="117">
        <v>18</v>
      </c>
      <c r="C33" s="123">
        <f>B33/(B33+D33)</f>
        <v>1</v>
      </c>
      <c r="D33" s="117">
        <v>0</v>
      </c>
      <c r="E33" s="123">
        <f>D33/(D33+B33)</f>
        <v>0</v>
      </c>
      <c r="F33" s="1646">
        <v>18</v>
      </c>
      <c r="G33" s="1647"/>
    </row>
    <row r="34" spans="1:12" ht="18.75" thickBot="1">
      <c r="A34" s="119" t="s">
        <v>0</v>
      </c>
      <c r="B34" s="124">
        <f>SUM(B30:B33)</f>
        <v>74</v>
      </c>
      <c r="C34" s="125">
        <f>B34/(B34+D34)</f>
        <v>0.84090909090909094</v>
      </c>
      <c r="D34" s="124">
        <f>SUM(D30:D33)</f>
        <v>14</v>
      </c>
      <c r="E34" s="125">
        <f>D34/(D34+B34)</f>
        <v>0.15909090909090909</v>
      </c>
      <c r="F34" s="1652">
        <f>SUM(F30:G33)</f>
        <v>88</v>
      </c>
      <c r="G34" s="1653"/>
    </row>
    <row r="35" spans="1:12" ht="14.25">
      <c r="H35" s="50"/>
      <c r="I35" s="61"/>
      <c r="J35" s="50"/>
      <c r="K35" s="16"/>
      <c r="L35" s="16"/>
    </row>
    <row r="36" spans="1:12" ht="14.25">
      <c r="A36" s="62"/>
      <c r="G36" s="61"/>
      <c r="H36" s="50"/>
      <c r="I36" s="61"/>
      <c r="J36" s="50"/>
      <c r="K36" s="15"/>
      <c r="L36" s="15"/>
    </row>
    <row r="37" spans="1:12" ht="15" thickBot="1">
      <c r="A37" s="62"/>
      <c r="G37" s="61"/>
      <c r="H37" s="50"/>
      <c r="I37" s="61"/>
      <c r="J37" s="50"/>
      <c r="K37" s="63"/>
      <c r="L37" s="63"/>
    </row>
    <row r="38" spans="1:12" ht="18.75" thickBot="1">
      <c r="A38" s="54"/>
      <c r="B38" s="1413" t="s">
        <v>83</v>
      </c>
      <c r="C38" s="1412"/>
      <c r="D38" s="1412"/>
      <c r="E38" s="1412"/>
      <c r="F38" s="1650" t="s">
        <v>392</v>
      </c>
      <c r="G38" s="1651"/>
    </row>
    <row r="39" spans="1:12" ht="15.75" thickBot="1">
      <c r="A39" s="111" t="s">
        <v>84</v>
      </c>
      <c r="B39" s="110" t="s">
        <v>85</v>
      </c>
      <c r="C39" s="110" t="s">
        <v>138</v>
      </c>
      <c r="D39" s="110" t="s">
        <v>86</v>
      </c>
      <c r="E39" s="110" t="s">
        <v>139</v>
      </c>
      <c r="F39" s="1650"/>
      <c r="G39" s="1651"/>
    </row>
    <row r="40" spans="1:12" ht="18.75" thickBot="1">
      <c r="A40" s="111" t="s">
        <v>68</v>
      </c>
      <c r="B40" s="117">
        <v>8</v>
      </c>
      <c r="C40" s="123">
        <f>B40/(B40+D40)</f>
        <v>0.53333333333333333</v>
      </c>
      <c r="D40" s="117">
        <v>7</v>
      </c>
      <c r="E40" s="123">
        <f>D40/(D40+B40)</f>
        <v>0.46666666666666667</v>
      </c>
      <c r="F40" s="1646">
        <v>5</v>
      </c>
      <c r="G40" s="1647"/>
    </row>
    <row r="41" spans="1:12" ht="18.75" thickBot="1">
      <c r="A41" s="111" t="s">
        <v>144</v>
      </c>
      <c r="B41" s="381">
        <v>13</v>
      </c>
      <c r="C41" s="638">
        <f>B41/(B41+D41)</f>
        <v>0.8666666666666667</v>
      </c>
      <c r="D41" s="381">
        <v>2</v>
      </c>
      <c r="E41" s="638">
        <f>D41/(D41+B41)</f>
        <v>0.13333333333333333</v>
      </c>
      <c r="F41" s="1646">
        <v>9</v>
      </c>
      <c r="G41" s="1647"/>
    </row>
    <row r="42" spans="1:12" ht="18.75" thickBot="1">
      <c r="A42" s="111" t="s">
        <v>251</v>
      </c>
      <c r="B42" s="637"/>
      <c r="C42" s="641"/>
      <c r="D42" s="637"/>
      <c r="E42" s="641"/>
      <c r="F42" s="1656">
        <v>19</v>
      </c>
      <c r="G42" s="1647"/>
    </row>
    <row r="43" spans="1:12" ht="18.75" thickBot="1">
      <c r="A43" s="111" t="s">
        <v>69</v>
      </c>
      <c r="B43" s="637"/>
      <c r="C43" s="641"/>
      <c r="D43" s="637"/>
      <c r="E43" s="641"/>
      <c r="F43" s="1656">
        <v>15</v>
      </c>
      <c r="G43" s="1647"/>
    </row>
    <row r="44" spans="1:12" ht="18.75" thickBot="1">
      <c r="A44" s="119" t="s">
        <v>0</v>
      </c>
      <c r="B44" s="639">
        <f>SUM(B40:B43)</f>
        <v>21</v>
      </c>
      <c r="C44" s="640">
        <f>B44/(B44+D44)</f>
        <v>0.7</v>
      </c>
      <c r="D44" s="639">
        <f>SUM(D40:D43)</f>
        <v>9</v>
      </c>
      <c r="E44" s="640">
        <f>D44/(D44+B44)</f>
        <v>0.3</v>
      </c>
      <c r="F44" s="1652">
        <f>SUM(F40:G43)</f>
        <v>48</v>
      </c>
      <c r="G44" s="1653"/>
    </row>
  </sheetData>
  <mergeCells count="34">
    <mergeCell ref="F44:G44"/>
    <mergeCell ref="F38:G39"/>
    <mergeCell ref="F40:G40"/>
    <mergeCell ref="F41:G41"/>
    <mergeCell ref="F42:G42"/>
    <mergeCell ref="F43:G43"/>
    <mergeCell ref="F30:G30"/>
    <mergeCell ref="F31:G31"/>
    <mergeCell ref="A1:M1"/>
    <mergeCell ref="A2:M2"/>
    <mergeCell ref="B17:E17"/>
    <mergeCell ref="F11:G11"/>
    <mergeCell ref="F13:G13"/>
    <mergeCell ref="F12:G12"/>
    <mergeCell ref="F5:G6"/>
    <mergeCell ref="F7:G7"/>
    <mergeCell ref="F8:G8"/>
    <mergeCell ref="F9:G9"/>
    <mergeCell ref="F32:G32"/>
    <mergeCell ref="F33:G33"/>
    <mergeCell ref="B38:E38"/>
    <mergeCell ref="B28:E28"/>
    <mergeCell ref="F3:K3"/>
    <mergeCell ref="B5:E5"/>
    <mergeCell ref="F10:G10"/>
    <mergeCell ref="F23:G23"/>
    <mergeCell ref="F24:G24"/>
    <mergeCell ref="F28:G29"/>
    <mergeCell ref="F17:G18"/>
    <mergeCell ref="F19:G19"/>
    <mergeCell ref="F20:G20"/>
    <mergeCell ref="F21:G21"/>
    <mergeCell ref="F22:G22"/>
    <mergeCell ref="F34:G3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useFirstPageNumber="1" r:id="rId1"/>
  <headerFooter>
    <oddHeader>&amp;L&amp;"Trebuchet MS,Negrito"&amp;12&amp;K01+018AGRUPAMENTO DE ESCOLAS MIGUEL TORGA&amp;C
&amp;R&amp;"Trebuchet MS,Negrito itálico"&amp;12AUTO - AVALIAÇÃO
2ºPeríodo  2011/12
Tabela XXIX</oddHeader>
    <oddFooter>&amp;C
&amp;R29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50"/>
  <sheetViews>
    <sheetView workbookViewId="0">
      <selection activeCell="O14" sqref="O14:P14"/>
    </sheetView>
  </sheetViews>
  <sheetFormatPr defaultRowHeight="12.75"/>
  <cols>
    <col min="2" max="2" width="10.85546875" customWidth="1"/>
    <col min="4" max="4" width="12.42578125" customWidth="1"/>
    <col min="6" max="6" width="6" customWidth="1"/>
    <col min="7" max="7" width="9" customWidth="1"/>
    <col min="8" max="8" width="6.140625" customWidth="1"/>
    <col min="9" max="9" width="12" customWidth="1"/>
    <col min="10" max="10" width="9.5703125" customWidth="1"/>
    <col min="11" max="11" width="11.140625" customWidth="1"/>
    <col min="12" max="12" width="11" customWidth="1"/>
    <col min="13" max="13" width="4.5703125" customWidth="1"/>
    <col min="14" max="14" width="10.5703125" customWidth="1"/>
    <col min="16" max="16" width="10.5703125" customWidth="1"/>
    <col min="17" max="17" width="9.42578125" customWidth="1"/>
    <col min="18" max="18" width="11" customWidth="1"/>
    <col min="19" max="19" width="12.42578125" customWidth="1"/>
    <col min="21" max="21" width="12.42578125" customWidth="1"/>
    <col min="24" max="24" width="10" customWidth="1"/>
  </cols>
  <sheetData>
    <row r="1" spans="1:24" ht="18.75" thickBot="1">
      <c r="A1" s="327"/>
      <c r="B1" s="327"/>
      <c r="C1" s="327"/>
      <c r="D1" s="328"/>
      <c r="E1" s="328"/>
      <c r="F1" s="328"/>
      <c r="G1" s="328"/>
      <c r="H1" s="328"/>
      <c r="I1" s="328"/>
      <c r="J1" s="328"/>
    </row>
    <row r="2" spans="1:24" ht="19.5" customHeight="1" thickBot="1">
      <c r="A2" s="1606" t="s">
        <v>357</v>
      </c>
      <c r="B2" s="1606" t="s">
        <v>358</v>
      </c>
      <c r="C2" s="1611" t="s">
        <v>359</v>
      </c>
      <c r="D2" s="1669" t="s">
        <v>536</v>
      </c>
      <c r="E2" s="1669"/>
      <c r="F2" s="1669"/>
      <c r="G2" s="1669"/>
      <c r="H2" s="1669"/>
      <c r="I2" s="1669"/>
      <c r="J2" s="1669"/>
      <c r="K2" s="1669" t="s">
        <v>373</v>
      </c>
      <c r="L2" s="1669"/>
      <c r="M2" s="1669"/>
      <c r="N2" s="1669"/>
      <c r="O2" s="1669"/>
      <c r="P2" s="1669"/>
      <c r="Q2" s="1669"/>
      <c r="R2" s="1669" t="s">
        <v>372</v>
      </c>
      <c r="S2" s="1669"/>
      <c r="T2" s="1669"/>
      <c r="U2" s="1669"/>
      <c r="V2" s="1669"/>
      <c r="W2" s="1669"/>
      <c r="X2" s="1669"/>
    </row>
    <row r="3" spans="1:24" ht="63" customHeight="1" thickBot="1">
      <c r="A3" s="1606"/>
      <c r="B3" s="1606"/>
      <c r="C3" s="1606"/>
      <c r="D3" s="329" t="s">
        <v>371</v>
      </c>
      <c r="E3" s="329" t="s">
        <v>486</v>
      </c>
      <c r="F3" s="1675" t="s">
        <v>537</v>
      </c>
      <c r="G3" s="1675"/>
      <c r="H3" s="1675" t="s">
        <v>538</v>
      </c>
      <c r="I3" s="1676"/>
      <c r="J3" s="605" t="s">
        <v>478</v>
      </c>
      <c r="K3" s="602" t="s">
        <v>371</v>
      </c>
      <c r="L3" s="329" t="s">
        <v>486</v>
      </c>
      <c r="M3" s="1675" t="s">
        <v>467</v>
      </c>
      <c r="N3" s="1675"/>
      <c r="O3" s="1675" t="s">
        <v>468</v>
      </c>
      <c r="P3" s="1675"/>
      <c r="Q3" s="605" t="s">
        <v>478</v>
      </c>
      <c r="R3" s="560" t="s">
        <v>371</v>
      </c>
      <c r="S3" s="329" t="s">
        <v>486</v>
      </c>
      <c r="T3" s="1672" t="s">
        <v>469</v>
      </c>
      <c r="U3" s="1672"/>
      <c r="V3" s="1672" t="s">
        <v>470</v>
      </c>
      <c r="W3" s="1672"/>
      <c r="X3" s="605" t="s">
        <v>478</v>
      </c>
    </row>
    <row r="4" spans="1:24" ht="15.75" thickBot="1">
      <c r="A4" s="1694" t="s">
        <v>118</v>
      </c>
      <c r="B4" s="322" t="s">
        <v>366</v>
      </c>
      <c r="C4" s="292">
        <f>'II-1º ANO'!B11</f>
        <v>46</v>
      </c>
      <c r="D4" s="546"/>
      <c r="E4" s="684">
        <f>D4/C4</f>
        <v>0</v>
      </c>
      <c r="F4" s="1684"/>
      <c r="G4" s="1685"/>
      <c r="H4" s="1673" t="e">
        <f t="shared" ref="H4:H22" si="0">F4/D4</f>
        <v>#DIV/0!</v>
      </c>
      <c r="I4" s="1683"/>
      <c r="J4" s="563"/>
      <c r="K4" s="547"/>
      <c r="L4" s="684">
        <f t="shared" ref="L4:L12" si="1">K4/C4</f>
        <v>0</v>
      </c>
      <c r="M4" s="1684"/>
      <c r="N4" s="1685"/>
      <c r="O4" s="1673" t="e">
        <f t="shared" ref="O4:O9" si="2">M4/K4</f>
        <v>#DIV/0!</v>
      </c>
      <c r="P4" s="1674"/>
      <c r="Q4" s="563"/>
      <c r="R4" s="548"/>
      <c r="S4" s="548"/>
      <c r="T4" s="1670"/>
      <c r="U4" s="1670"/>
      <c r="V4" s="1671"/>
      <c r="W4" s="1671"/>
      <c r="X4" s="563"/>
    </row>
    <row r="5" spans="1:24" ht="15.75" thickBot="1">
      <c r="A5" s="1695"/>
      <c r="B5" s="324" t="s">
        <v>353</v>
      </c>
      <c r="C5" s="292">
        <f>'III-2º ANO'!B12</f>
        <v>69</v>
      </c>
      <c r="D5" s="413"/>
      <c r="E5" s="684">
        <f t="shared" ref="E5:E12" si="3">D5/C5</f>
        <v>0</v>
      </c>
      <c r="F5" s="1660"/>
      <c r="G5" s="1677"/>
      <c r="H5" s="1673" t="e">
        <f t="shared" si="0"/>
        <v>#DIV/0!</v>
      </c>
      <c r="I5" s="1683"/>
      <c r="J5" s="601"/>
      <c r="K5" s="549"/>
      <c r="L5" s="684">
        <f t="shared" si="1"/>
        <v>0</v>
      </c>
      <c r="M5" s="1660"/>
      <c r="N5" s="1677"/>
      <c r="O5" s="1673" t="e">
        <f t="shared" si="2"/>
        <v>#DIV/0!</v>
      </c>
      <c r="P5" s="1674"/>
      <c r="Q5" s="601"/>
      <c r="R5" s="548"/>
      <c r="S5" s="548"/>
      <c r="T5" s="1670"/>
      <c r="U5" s="1670"/>
      <c r="V5" s="1671"/>
      <c r="W5" s="1671"/>
      <c r="X5" s="601"/>
    </row>
    <row r="6" spans="1:24" ht="15.75" thickBot="1">
      <c r="A6" s="1695"/>
      <c r="B6" s="324" t="s">
        <v>354</v>
      </c>
      <c r="C6" s="292">
        <f>'IV-3º ANO'!B12</f>
        <v>65</v>
      </c>
      <c r="D6" s="413"/>
      <c r="E6" s="684">
        <f t="shared" si="3"/>
        <v>0</v>
      </c>
      <c r="F6" s="1660"/>
      <c r="G6" s="1677"/>
      <c r="H6" s="1673" t="e">
        <f t="shared" si="0"/>
        <v>#DIV/0!</v>
      </c>
      <c r="I6" s="1683"/>
      <c r="J6" s="601"/>
      <c r="K6" s="549"/>
      <c r="L6" s="684">
        <f t="shared" si="1"/>
        <v>0</v>
      </c>
      <c r="M6" s="1660"/>
      <c r="N6" s="1677"/>
      <c r="O6" s="1673" t="e">
        <f t="shared" si="2"/>
        <v>#DIV/0!</v>
      </c>
      <c r="P6" s="1674"/>
      <c r="Q6" s="601"/>
      <c r="R6" s="548"/>
      <c r="S6" s="548"/>
      <c r="T6" s="1670"/>
      <c r="U6" s="1670"/>
      <c r="V6" s="1671"/>
      <c r="W6" s="1671"/>
      <c r="X6" s="601"/>
    </row>
    <row r="7" spans="1:24" ht="15.75" thickBot="1">
      <c r="A7" s="1695"/>
      <c r="B7" s="324" t="s">
        <v>355</v>
      </c>
      <c r="C7" s="292">
        <f>'V-4º ANO'!B12</f>
        <v>74</v>
      </c>
      <c r="D7" s="413"/>
      <c r="E7" s="684">
        <f t="shared" si="3"/>
        <v>0</v>
      </c>
      <c r="F7" s="1660"/>
      <c r="G7" s="1677"/>
      <c r="H7" s="1673" t="e">
        <f t="shared" si="0"/>
        <v>#DIV/0!</v>
      </c>
      <c r="I7" s="1683"/>
      <c r="J7" s="601"/>
      <c r="K7" s="549"/>
      <c r="L7" s="684">
        <f t="shared" si="1"/>
        <v>0</v>
      </c>
      <c r="M7" s="1660"/>
      <c r="N7" s="1677"/>
      <c r="O7" s="1673" t="e">
        <f t="shared" si="2"/>
        <v>#DIV/0!</v>
      </c>
      <c r="P7" s="1674"/>
      <c r="Q7" s="601"/>
      <c r="R7" s="548"/>
      <c r="S7" s="548"/>
      <c r="T7" s="1670"/>
      <c r="U7" s="1670"/>
      <c r="V7" s="1671"/>
      <c r="W7" s="1671"/>
      <c r="X7" s="601"/>
    </row>
    <row r="8" spans="1:24" ht="18.75" thickBot="1">
      <c r="A8" s="1696" t="s">
        <v>0</v>
      </c>
      <c r="B8" s="1697"/>
      <c r="C8" s="119">
        <f>SUM(C4:C7)</f>
        <v>254</v>
      </c>
      <c r="D8" s="524">
        <f>SUM(D4:D7)</f>
        <v>0</v>
      </c>
      <c r="E8" s="682">
        <f t="shared" si="3"/>
        <v>0</v>
      </c>
      <c r="F8" s="1678">
        <f>SUM(F4:G7)</f>
        <v>0</v>
      </c>
      <c r="G8" s="1679"/>
      <c r="H8" s="1680" t="e">
        <f t="shared" si="0"/>
        <v>#DIV/0!</v>
      </c>
      <c r="I8" s="1682"/>
      <c r="J8" s="601"/>
      <c r="K8" s="523">
        <f>SUM(K4:K7)</f>
        <v>0</v>
      </c>
      <c r="L8" s="682">
        <f t="shared" si="1"/>
        <v>0</v>
      </c>
      <c r="M8" s="1678">
        <f>SUM(M4:N7)</f>
        <v>0</v>
      </c>
      <c r="N8" s="1679"/>
      <c r="O8" s="1680" t="e">
        <f t="shared" si="2"/>
        <v>#DIV/0!</v>
      </c>
      <c r="P8" s="1681"/>
      <c r="Q8" s="601"/>
      <c r="R8" s="564"/>
      <c r="S8" s="564"/>
      <c r="T8" s="1664"/>
      <c r="U8" s="1664"/>
      <c r="V8" s="1663"/>
      <c r="W8" s="1663"/>
      <c r="X8" s="601"/>
    </row>
    <row r="9" spans="1:24" ht="15.75" thickBot="1">
      <c r="A9" s="1695" t="s">
        <v>119</v>
      </c>
      <c r="B9" s="324" t="s">
        <v>366</v>
      </c>
      <c r="C9" s="294">
        <f>'II-1º ANO'!B31</f>
        <v>56</v>
      </c>
      <c r="D9" s="413"/>
      <c r="E9" s="684">
        <f>D9/C9</f>
        <v>0</v>
      </c>
      <c r="F9" s="1660"/>
      <c r="G9" s="1660"/>
      <c r="H9" s="1673" t="e">
        <f t="shared" si="0"/>
        <v>#DIV/0!</v>
      </c>
      <c r="I9" s="1683"/>
      <c r="J9" s="601"/>
      <c r="K9" s="549"/>
      <c r="L9" s="684">
        <f t="shared" si="1"/>
        <v>0</v>
      </c>
      <c r="M9" s="1660"/>
      <c r="N9" s="1660"/>
      <c r="O9" s="1673" t="e">
        <f t="shared" si="2"/>
        <v>#DIV/0!</v>
      </c>
      <c r="P9" s="1674"/>
      <c r="Q9" s="601"/>
      <c r="R9" s="548"/>
      <c r="S9" s="548"/>
      <c r="T9" s="1670"/>
      <c r="U9" s="1670"/>
      <c r="V9" s="1671"/>
      <c r="W9" s="1671"/>
      <c r="X9" s="601"/>
    </row>
    <row r="10" spans="1:24" ht="15.75" thickBot="1">
      <c r="A10" s="1695"/>
      <c r="B10" s="324" t="s">
        <v>353</v>
      </c>
      <c r="C10" s="294">
        <f>'III-2º ANO'!B34</f>
        <v>57</v>
      </c>
      <c r="D10" s="413"/>
      <c r="E10" s="684">
        <f t="shared" si="3"/>
        <v>0</v>
      </c>
      <c r="F10" s="1660"/>
      <c r="G10" s="1660"/>
      <c r="H10" s="1673" t="e">
        <f t="shared" si="0"/>
        <v>#DIV/0!</v>
      </c>
      <c r="I10" s="1683"/>
      <c r="J10" s="601"/>
      <c r="K10" s="549"/>
      <c r="L10" s="684">
        <f t="shared" si="1"/>
        <v>0</v>
      </c>
      <c r="M10" s="1660"/>
      <c r="N10" s="1660"/>
      <c r="O10" s="1673" t="e">
        <f t="shared" ref="O10:O22" si="4">M10/K10</f>
        <v>#DIV/0!</v>
      </c>
      <c r="P10" s="1674"/>
      <c r="Q10" s="601"/>
      <c r="R10" s="548"/>
      <c r="S10" s="548"/>
      <c r="T10" s="1670"/>
      <c r="U10" s="1670"/>
      <c r="V10" s="1671"/>
      <c r="W10" s="1671"/>
      <c r="X10" s="601"/>
    </row>
    <row r="11" spans="1:24" ht="15.75" thickBot="1">
      <c r="A11" s="1695"/>
      <c r="B11" s="324" t="s">
        <v>354</v>
      </c>
      <c r="C11" s="294">
        <f>'IV-3º ANO'!B35</f>
        <v>66</v>
      </c>
      <c r="D11" s="413"/>
      <c r="E11" s="684">
        <f t="shared" si="3"/>
        <v>0</v>
      </c>
      <c r="F11" s="1660"/>
      <c r="G11" s="1660"/>
      <c r="H11" s="1673" t="e">
        <f t="shared" si="0"/>
        <v>#DIV/0!</v>
      </c>
      <c r="I11" s="1683"/>
      <c r="J11" s="601"/>
      <c r="K11" s="549"/>
      <c r="L11" s="684">
        <f t="shared" si="1"/>
        <v>0</v>
      </c>
      <c r="M11" s="1660"/>
      <c r="N11" s="1660"/>
      <c r="O11" s="1673" t="e">
        <f t="shared" si="4"/>
        <v>#DIV/0!</v>
      </c>
      <c r="P11" s="1674"/>
      <c r="Q11" s="601"/>
      <c r="R11" s="548"/>
      <c r="S11" s="548"/>
      <c r="T11" s="1670"/>
      <c r="U11" s="1670"/>
      <c r="V11" s="1671"/>
      <c r="W11" s="1671"/>
      <c r="X11" s="601"/>
    </row>
    <row r="12" spans="1:24" ht="15.75" thickBot="1">
      <c r="A12" s="1695"/>
      <c r="B12" s="324" t="s">
        <v>355</v>
      </c>
      <c r="C12" s="294">
        <f>'V-4º ANO'!B36</f>
        <v>64</v>
      </c>
      <c r="D12" s="413"/>
      <c r="E12" s="684">
        <f t="shared" si="3"/>
        <v>0</v>
      </c>
      <c r="F12" s="1660"/>
      <c r="G12" s="1660"/>
      <c r="H12" s="1673" t="e">
        <f t="shared" si="0"/>
        <v>#DIV/0!</v>
      </c>
      <c r="I12" s="1683"/>
      <c r="J12" s="601"/>
      <c r="K12" s="549"/>
      <c r="L12" s="684">
        <f t="shared" si="1"/>
        <v>0</v>
      </c>
      <c r="M12" s="1660"/>
      <c r="N12" s="1660"/>
      <c r="O12" s="1673" t="e">
        <f t="shared" si="4"/>
        <v>#DIV/0!</v>
      </c>
      <c r="P12" s="1674"/>
      <c r="Q12" s="601"/>
      <c r="R12" s="548"/>
      <c r="S12" s="548"/>
      <c r="T12" s="1670"/>
      <c r="U12" s="1670"/>
      <c r="V12" s="1671"/>
      <c r="W12" s="1671"/>
      <c r="X12" s="601"/>
    </row>
    <row r="13" spans="1:24" ht="18.75" thickBot="1">
      <c r="A13" s="1696" t="s">
        <v>0</v>
      </c>
      <c r="B13" s="1697"/>
      <c r="C13" s="119">
        <f>SUM(C9:C12)</f>
        <v>243</v>
      </c>
      <c r="D13" s="524">
        <f>SUM(D9:D12)</f>
        <v>0</v>
      </c>
      <c r="E13" s="682">
        <f t="shared" ref="E13:E22" si="5">D13/C13</f>
        <v>0</v>
      </c>
      <c r="F13" s="1678">
        <f>SUM(F9:G12)</f>
        <v>0</v>
      </c>
      <c r="G13" s="1679"/>
      <c r="H13" s="1690" t="e">
        <f t="shared" si="0"/>
        <v>#DIV/0!</v>
      </c>
      <c r="I13" s="1691"/>
      <c r="J13" s="601"/>
      <c r="K13" s="523">
        <f>SUM(K9:K12)</f>
        <v>0</v>
      </c>
      <c r="L13" s="682">
        <f t="shared" ref="L13:L18" si="6">K13/C13</f>
        <v>0</v>
      </c>
      <c r="M13" s="1678">
        <f>SUM(M9:N12)</f>
        <v>0</v>
      </c>
      <c r="N13" s="1679"/>
      <c r="O13" s="1690" t="e">
        <f t="shared" si="4"/>
        <v>#DIV/0!</v>
      </c>
      <c r="P13" s="1718"/>
      <c r="Q13" s="601"/>
      <c r="R13" s="564"/>
      <c r="S13" s="564"/>
      <c r="T13" s="1664"/>
      <c r="U13" s="1664"/>
      <c r="V13" s="1663"/>
      <c r="W13" s="1663"/>
      <c r="X13" s="601"/>
    </row>
    <row r="14" spans="1:24" ht="18.75" thickBot="1">
      <c r="A14" s="1686" t="s">
        <v>152</v>
      </c>
      <c r="B14" s="1687"/>
      <c r="C14" s="119">
        <f>C8+C13</f>
        <v>497</v>
      </c>
      <c r="D14" s="431">
        <f>D8+D13</f>
        <v>0</v>
      </c>
      <c r="E14" s="682">
        <f t="shared" si="5"/>
        <v>0</v>
      </c>
      <c r="F14" s="1688">
        <f>F8+F13</f>
        <v>0</v>
      </c>
      <c r="G14" s="1689"/>
      <c r="H14" s="1690" t="e">
        <f t="shared" si="0"/>
        <v>#DIV/0!</v>
      </c>
      <c r="I14" s="1691"/>
      <c r="J14" s="601"/>
      <c r="K14" s="540">
        <f>K8+K13</f>
        <v>0</v>
      </c>
      <c r="L14" s="682">
        <f t="shared" si="6"/>
        <v>0</v>
      </c>
      <c r="M14" s="1688">
        <f>M8+M13</f>
        <v>0</v>
      </c>
      <c r="N14" s="1689"/>
      <c r="O14" s="1690" t="e">
        <f t="shared" si="4"/>
        <v>#DIV/0!</v>
      </c>
      <c r="P14" s="1691"/>
      <c r="Q14" s="601"/>
      <c r="R14" s="564"/>
      <c r="S14" s="564"/>
      <c r="T14" s="564"/>
      <c r="U14" s="564"/>
      <c r="V14" s="565"/>
      <c r="W14" s="565"/>
      <c r="X14" s="601"/>
    </row>
    <row r="15" spans="1:24" ht="22.5" customHeight="1" thickBot="1">
      <c r="A15" s="1692" t="s">
        <v>137</v>
      </c>
      <c r="B15" s="520" t="s">
        <v>1</v>
      </c>
      <c r="C15" s="525">
        <f>'VI-5º ANO'!B17</f>
        <v>126</v>
      </c>
      <c r="D15" s="413">
        <f>2+2+1+3</f>
        <v>8</v>
      </c>
      <c r="E15" s="685">
        <f t="shared" si="5"/>
        <v>6.3492063492063489E-2</v>
      </c>
      <c r="F15" s="1660">
        <f>1+2+1+2</f>
        <v>6</v>
      </c>
      <c r="G15" s="1660"/>
      <c r="H15" s="1673">
        <f t="shared" si="0"/>
        <v>0.75</v>
      </c>
      <c r="I15" s="1683"/>
      <c r="J15" s="686"/>
      <c r="K15" s="549">
        <f>5+2+5+1+3</f>
        <v>16</v>
      </c>
      <c r="L15" s="685">
        <f t="shared" si="6"/>
        <v>0.12698412698412698</v>
      </c>
      <c r="M15" s="1660">
        <f>4+2+3+1+1</f>
        <v>11</v>
      </c>
      <c r="N15" s="1660"/>
      <c r="O15" s="1673">
        <f t="shared" si="4"/>
        <v>0.6875</v>
      </c>
      <c r="P15" s="1674"/>
      <c r="Q15" s="601"/>
      <c r="R15" s="564"/>
      <c r="S15" s="564"/>
      <c r="T15" s="1664"/>
      <c r="U15" s="1664"/>
      <c r="V15" s="1663"/>
      <c r="W15" s="1663"/>
      <c r="X15" s="601"/>
    </row>
    <row r="16" spans="1:24" ht="21" customHeight="1" thickBot="1">
      <c r="A16" s="1693"/>
      <c r="B16" s="520" t="s">
        <v>2</v>
      </c>
      <c r="C16" s="525">
        <f>'VII-6º ANO'!B16</f>
        <v>130</v>
      </c>
      <c r="D16" s="413">
        <f>1+8+1+4+1+2</f>
        <v>17</v>
      </c>
      <c r="E16" s="685">
        <f t="shared" si="5"/>
        <v>0.13076923076923078</v>
      </c>
      <c r="F16" s="1660">
        <f>1+8+0+0+1+2</f>
        <v>12</v>
      </c>
      <c r="G16" s="1660"/>
      <c r="H16" s="1673">
        <f t="shared" si="0"/>
        <v>0.70588235294117652</v>
      </c>
      <c r="I16" s="1683"/>
      <c r="J16" s="686"/>
      <c r="K16" s="549">
        <f>1+2+3+6</f>
        <v>12</v>
      </c>
      <c r="L16" s="685">
        <f t="shared" si="6"/>
        <v>9.2307692307692313E-2</v>
      </c>
      <c r="M16" s="1660">
        <f>1+4</f>
        <v>5</v>
      </c>
      <c r="N16" s="1660"/>
      <c r="O16" s="1673">
        <f t="shared" si="4"/>
        <v>0.41666666666666669</v>
      </c>
      <c r="P16" s="1674"/>
      <c r="Q16" s="601"/>
      <c r="R16" s="564"/>
      <c r="S16" s="564"/>
      <c r="T16" s="1664"/>
      <c r="U16" s="1664"/>
      <c r="V16" s="1663"/>
      <c r="W16" s="1663"/>
      <c r="X16" s="601"/>
    </row>
    <row r="17" spans="1:24" ht="18.75" thickBot="1">
      <c r="A17" s="1686" t="s">
        <v>154</v>
      </c>
      <c r="B17" s="1687"/>
      <c r="C17" s="431">
        <f>SUM(C15:C16)</f>
        <v>256</v>
      </c>
      <c r="D17" s="431">
        <f>SUM(D15:D16)</f>
        <v>25</v>
      </c>
      <c r="E17" s="682">
        <f t="shared" si="5"/>
        <v>9.765625E-2</v>
      </c>
      <c r="F17" s="1688">
        <f>SUM(F15:G16)</f>
        <v>18</v>
      </c>
      <c r="G17" s="1689"/>
      <c r="H17" s="1690">
        <f t="shared" si="0"/>
        <v>0.72</v>
      </c>
      <c r="I17" s="1691"/>
      <c r="J17" s="686"/>
      <c r="K17" s="540">
        <f>SUM(K15:K16)</f>
        <v>28</v>
      </c>
      <c r="L17" s="682">
        <f t="shared" si="6"/>
        <v>0.109375</v>
      </c>
      <c r="M17" s="1688">
        <f>SUM(M15:N16)</f>
        <v>16</v>
      </c>
      <c r="N17" s="1689"/>
      <c r="O17" s="1690">
        <f t="shared" si="4"/>
        <v>0.5714285714285714</v>
      </c>
      <c r="P17" s="1691"/>
      <c r="Q17" s="601"/>
      <c r="R17" s="544"/>
      <c r="S17" s="544"/>
      <c r="T17" s="544"/>
      <c r="U17" s="544"/>
      <c r="V17" s="545"/>
      <c r="W17" s="545"/>
      <c r="X17" s="601"/>
    </row>
    <row r="18" spans="1:24" ht="15.75" customHeight="1" thickBot="1">
      <c r="A18" s="1692" t="s">
        <v>137</v>
      </c>
      <c r="B18" s="324" t="s">
        <v>3</v>
      </c>
      <c r="C18" s="294">
        <f>'VIII-7º ANO'!B17</f>
        <v>126</v>
      </c>
      <c r="D18" s="413">
        <f>4+1+2+1+6</f>
        <v>14</v>
      </c>
      <c r="E18" s="684">
        <f t="shared" si="5"/>
        <v>0.1111111111111111</v>
      </c>
      <c r="F18" s="1660">
        <f>4+0+1+0+4</f>
        <v>9</v>
      </c>
      <c r="G18" s="1660"/>
      <c r="H18" s="1673">
        <f t="shared" si="0"/>
        <v>0.6428571428571429</v>
      </c>
      <c r="I18" s="1683"/>
      <c r="J18" s="601"/>
      <c r="K18" s="549">
        <f>2+2+1</f>
        <v>5</v>
      </c>
      <c r="L18" s="684">
        <f t="shared" si="6"/>
        <v>3.968253968253968E-2</v>
      </c>
      <c r="M18" s="1660">
        <f>2+2</f>
        <v>4</v>
      </c>
      <c r="N18" s="1660"/>
      <c r="O18" s="1673">
        <f t="shared" si="4"/>
        <v>0.8</v>
      </c>
      <c r="P18" s="1674"/>
      <c r="Q18" s="601"/>
      <c r="R18" s="413">
        <f>1+3</f>
        <v>4</v>
      </c>
      <c r="S18" s="684">
        <f>R18/C18</f>
        <v>3.1746031746031744E-2</v>
      </c>
      <c r="T18" s="1660">
        <f>3</f>
        <v>3</v>
      </c>
      <c r="U18" s="1660"/>
      <c r="V18" s="1661">
        <f>T18/R18</f>
        <v>0.75</v>
      </c>
      <c r="W18" s="1662"/>
      <c r="X18" s="601"/>
    </row>
    <row r="19" spans="1:24" ht="15.75" thickBot="1">
      <c r="A19" s="1693"/>
      <c r="B19" s="324" t="s">
        <v>4</v>
      </c>
      <c r="C19" s="294">
        <f>'IX-8º ANO'!B15</f>
        <v>110</v>
      </c>
      <c r="D19" s="413">
        <v>1</v>
      </c>
      <c r="E19" s="684">
        <f t="shared" si="5"/>
        <v>9.0909090909090905E-3</v>
      </c>
      <c r="F19" s="1660">
        <v>1</v>
      </c>
      <c r="G19" s="1660"/>
      <c r="H19" s="1673">
        <f t="shared" si="0"/>
        <v>1</v>
      </c>
      <c r="I19" s="1683"/>
      <c r="J19" s="601"/>
      <c r="K19" s="549">
        <v>1</v>
      </c>
      <c r="L19" s="684">
        <f>K19/C19</f>
        <v>9.0909090909090905E-3</v>
      </c>
      <c r="M19" s="1660">
        <v>0</v>
      </c>
      <c r="N19" s="1660"/>
      <c r="O19" s="1673">
        <f t="shared" si="4"/>
        <v>0</v>
      </c>
      <c r="P19" s="1674"/>
      <c r="Q19" s="601"/>
      <c r="R19" s="413">
        <v>1</v>
      </c>
      <c r="S19" s="684">
        <f>R19/C19</f>
        <v>9.0909090909090905E-3</v>
      </c>
      <c r="T19" s="1660">
        <v>0</v>
      </c>
      <c r="U19" s="1660"/>
      <c r="V19" s="1661">
        <f>T19/R19</f>
        <v>0</v>
      </c>
      <c r="W19" s="1662"/>
      <c r="X19" s="601"/>
    </row>
    <row r="20" spans="1:24" ht="15.75" thickBot="1">
      <c r="A20" s="1694"/>
      <c r="B20" s="324" t="s">
        <v>5</v>
      </c>
      <c r="C20" s="294">
        <f>'X-9º ANO'!B13</f>
        <v>86</v>
      </c>
      <c r="D20" s="413">
        <v>4</v>
      </c>
      <c r="E20" s="684">
        <f t="shared" si="5"/>
        <v>4.6511627906976744E-2</v>
      </c>
      <c r="F20" s="1660">
        <v>3</v>
      </c>
      <c r="G20" s="1660"/>
      <c r="H20" s="1673">
        <f t="shared" si="0"/>
        <v>0.75</v>
      </c>
      <c r="I20" s="1683"/>
      <c r="J20" s="601"/>
      <c r="K20" s="549">
        <f>9+4</f>
        <v>13</v>
      </c>
      <c r="L20" s="684">
        <f>K20/C20</f>
        <v>0.15116279069767441</v>
      </c>
      <c r="M20" s="1660">
        <v>5</v>
      </c>
      <c r="N20" s="1660"/>
      <c r="O20" s="1673">
        <f t="shared" si="4"/>
        <v>0.38461538461538464</v>
      </c>
      <c r="P20" s="1674"/>
      <c r="Q20" s="601"/>
      <c r="R20" s="413">
        <v>4</v>
      </c>
      <c r="S20" s="684">
        <f>R20/C20</f>
        <v>4.6511627906976744E-2</v>
      </c>
      <c r="T20" s="1660">
        <v>4</v>
      </c>
      <c r="U20" s="1660"/>
      <c r="V20" s="1661">
        <f>T20/R20</f>
        <v>1</v>
      </c>
      <c r="W20" s="1662"/>
      <c r="X20" s="601"/>
    </row>
    <row r="21" spans="1:24" ht="18.75" thickBot="1">
      <c r="A21" s="1686" t="s">
        <v>157</v>
      </c>
      <c r="B21" s="1687"/>
      <c r="C21" s="119">
        <f>SUM(C19:C20)</f>
        <v>196</v>
      </c>
      <c r="D21" s="550">
        <f>SUM(D18:D20)</f>
        <v>19</v>
      </c>
      <c r="E21" s="682">
        <f t="shared" si="5"/>
        <v>9.6938775510204078E-2</v>
      </c>
      <c r="F21" s="1665">
        <f>SUM(F18:G20)</f>
        <v>13</v>
      </c>
      <c r="G21" s="1666"/>
      <c r="H21" s="1667">
        <f t="shared" si="0"/>
        <v>0.68421052631578949</v>
      </c>
      <c r="I21" s="1668"/>
      <c r="J21" s="601"/>
      <c r="K21" s="599">
        <f>SUM(K18:K20)</f>
        <v>19</v>
      </c>
      <c r="L21" s="682">
        <f>K21/C21</f>
        <v>9.6938775510204078E-2</v>
      </c>
      <c r="M21" s="1665">
        <f>SUM(M18:N20)</f>
        <v>9</v>
      </c>
      <c r="N21" s="1666"/>
      <c r="O21" s="1667">
        <f t="shared" si="4"/>
        <v>0.47368421052631576</v>
      </c>
      <c r="P21" s="1668"/>
      <c r="Q21" s="601"/>
      <c r="R21" s="550">
        <f>SUM(R18:R20)</f>
        <v>9</v>
      </c>
      <c r="S21" s="682">
        <f>R21/C21</f>
        <v>4.5918367346938778E-2</v>
      </c>
      <c r="T21" s="1665">
        <f>SUM(T18:U20)</f>
        <v>7</v>
      </c>
      <c r="U21" s="1666"/>
      <c r="V21" s="1667">
        <f>T21/R21</f>
        <v>0.77777777777777779</v>
      </c>
      <c r="W21" s="1668"/>
      <c r="X21" s="601"/>
    </row>
    <row r="22" spans="1:24" ht="40.5" customHeight="1" thickBot="1">
      <c r="A22" s="1705" t="s">
        <v>367</v>
      </c>
      <c r="B22" s="1706"/>
      <c r="C22" s="325">
        <f>C17+C14+C21</f>
        <v>949</v>
      </c>
      <c r="D22" s="487">
        <f>D17+D14+D21</f>
        <v>44</v>
      </c>
      <c r="E22" s="682">
        <f t="shared" si="5"/>
        <v>4.6364594309799792E-2</v>
      </c>
      <c r="F22" s="1657">
        <f>F14+F17+F21</f>
        <v>31</v>
      </c>
      <c r="G22" s="1657"/>
      <c r="H22" s="1658">
        <f t="shared" si="0"/>
        <v>0.70454545454545459</v>
      </c>
      <c r="I22" s="1704"/>
      <c r="J22" s="601"/>
      <c r="K22" s="600">
        <f>K17+K14+K21</f>
        <v>47</v>
      </c>
      <c r="L22" s="682">
        <f>K22/C22</f>
        <v>4.9525816649104319E-2</v>
      </c>
      <c r="M22" s="1657">
        <f>M14+M17+M21</f>
        <v>25</v>
      </c>
      <c r="N22" s="1657"/>
      <c r="O22" s="1658">
        <f t="shared" si="4"/>
        <v>0.53191489361702127</v>
      </c>
      <c r="P22" s="1709"/>
      <c r="Q22" s="601"/>
      <c r="R22" s="487">
        <f>R17+R14+R21</f>
        <v>9</v>
      </c>
      <c r="S22" s="682">
        <f>R22/C22</f>
        <v>9.4836670179135937E-3</v>
      </c>
      <c r="T22" s="1657">
        <f>T14+T17+T21</f>
        <v>7</v>
      </c>
      <c r="U22" s="1657"/>
      <c r="V22" s="1658">
        <f>T22/R22</f>
        <v>0.77777777777777779</v>
      </c>
      <c r="W22" s="1659"/>
      <c r="X22" s="601"/>
    </row>
    <row r="28" spans="1:24" ht="13.5" thickBot="1"/>
    <row r="29" spans="1:24" ht="33" customHeight="1" thickBot="1">
      <c r="A29" s="1606" t="s">
        <v>357</v>
      </c>
      <c r="B29" s="1606" t="s">
        <v>358</v>
      </c>
      <c r="C29" s="1606" t="s">
        <v>359</v>
      </c>
      <c r="D29" s="1606" t="s">
        <v>368</v>
      </c>
      <c r="E29" s="1606" t="s">
        <v>360</v>
      </c>
      <c r="F29" s="1606"/>
      <c r="G29" s="1606"/>
      <c r="H29" s="1606"/>
      <c r="I29" s="1606"/>
      <c r="J29" s="1606" t="s">
        <v>361</v>
      </c>
      <c r="K29" s="1712" t="s">
        <v>369</v>
      </c>
      <c r="L29" s="1712"/>
      <c r="M29" s="1712" t="s">
        <v>370</v>
      </c>
      <c r="N29" s="1712"/>
      <c r="O29" s="1713"/>
      <c r="P29" s="1710" t="s">
        <v>471</v>
      </c>
    </row>
    <row r="30" spans="1:24" ht="27.75" customHeight="1" thickBot="1">
      <c r="A30" s="1606"/>
      <c r="B30" s="1606"/>
      <c r="C30" s="1606"/>
      <c r="D30" s="1606"/>
      <c r="E30" s="321" t="s">
        <v>100</v>
      </c>
      <c r="F30" s="236" t="s">
        <v>362</v>
      </c>
      <c r="G30" s="236" t="s">
        <v>363</v>
      </c>
      <c r="H30" s="236" t="s">
        <v>364</v>
      </c>
      <c r="I30" s="236" t="s">
        <v>365</v>
      </c>
      <c r="J30" s="1606"/>
      <c r="K30" s="1675"/>
      <c r="L30" s="1675"/>
      <c r="M30" s="1675"/>
      <c r="N30" s="1675"/>
      <c r="O30" s="1676"/>
      <c r="P30" s="1711"/>
    </row>
    <row r="31" spans="1:24" ht="15.75" thickBot="1">
      <c r="A31" s="1702" t="s">
        <v>118</v>
      </c>
      <c r="B31" s="516" t="s">
        <v>366</v>
      </c>
      <c r="C31" s="517">
        <f>'II-1º ANO'!B11</f>
        <v>46</v>
      </c>
      <c r="D31" s="518"/>
      <c r="E31" s="776"/>
      <c r="F31" s="645"/>
      <c r="G31" s="645"/>
      <c r="H31" s="645"/>
      <c r="I31" s="645"/>
      <c r="J31" s="521">
        <f>SUM(E31:I31)/C4</f>
        <v>0</v>
      </c>
      <c r="K31" s="1727"/>
      <c r="L31" s="1728"/>
      <c r="M31" s="1714" t="e">
        <f t="shared" ref="M31:M41" si="7">K31/D31</f>
        <v>#DIV/0!</v>
      </c>
      <c r="N31" s="1715"/>
      <c r="O31" s="1715"/>
      <c r="P31" s="604"/>
    </row>
    <row r="32" spans="1:24" ht="15.75" thickBot="1">
      <c r="A32" s="1703"/>
      <c r="B32" s="520" t="s">
        <v>353</v>
      </c>
      <c r="C32" s="517">
        <f>'III-2º ANO'!B12</f>
        <v>69</v>
      </c>
      <c r="D32" s="512"/>
      <c r="E32" s="512"/>
      <c r="F32" s="515"/>
      <c r="G32" s="515"/>
      <c r="H32" s="515"/>
      <c r="I32" s="515"/>
      <c r="J32" s="521">
        <f>SUM(E32:I32)/C5</f>
        <v>0</v>
      </c>
      <c r="K32" s="1716"/>
      <c r="L32" s="1717"/>
      <c r="M32" s="1714" t="e">
        <f t="shared" si="7"/>
        <v>#DIV/0!</v>
      </c>
      <c r="N32" s="1715"/>
      <c r="O32" s="1715"/>
      <c r="P32" s="604"/>
    </row>
    <row r="33" spans="1:16" ht="15.75" thickBot="1">
      <c r="A33" s="1703"/>
      <c r="B33" s="520" t="s">
        <v>354</v>
      </c>
      <c r="C33" s="517">
        <f>'IV-3º ANO'!B12</f>
        <v>65</v>
      </c>
      <c r="D33" s="512"/>
      <c r="E33" s="777"/>
      <c r="F33" s="515"/>
      <c r="G33" s="515"/>
      <c r="H33" s="515"/>
      <c r="I33" s="515"/>
      <c r="J33" s="521">
        <f>SUM(E33:I33)/C6</f>
        <v>0</v>
      </c>
      <c r="K33" s="1716"/>
      <c r="L33" s="1717"/>
      <c r="M33" s="1714" t="e">
        <f t="shared" si="7"/>
        <v>#DIV/0!</v>
      </c>
      <c r="N33" s="1715"/>
      <c r="O33" s="1715"/>
      <c r="P33" s="604"/>
    </row>
    <row r="34" spans="1:16" ht="15.75" thickBot="1">
      <c r="A34" s="1703"/>
      <c r="B34" s="520" t="s">
        <v>355</v>
      </c>
      <c r="C34" s="517">
        <f>'V-4º ANO'!B12</f>
        <v>74</v>
      </c>
      <c r="D34" s="512"/>
      <c r="E34" s="512"/>
      <c r="F34" s="515"/>
      <c r="G34" s="515"/>
      <c r="H34" s="515"/>
      <c r="I34" s="515"/>
      <c r="J34" s="521">
        <f>SUM(E34:I34)/C7</f>
        <v>0</v>
      </c>
      <c r="K34" s="1716"/>
      <c r="L34" s="1717"/>
      <c r="M34" s="1714" t="e">
        <f t="shared" si="7"/>
        <v>#DIV/0!</v>
      </c>
      <c r="N34" s="1715"/>
      <c r="O34" s="1715"/>
      <c r="P34" s="604"/>
    </row>
    <row r="35" spans="1:16" ht="18.75" thickBot="1">
      <c r="A35" s="1696" t="s">
        <v>0</v>
      </c>
      <c r="B35" s="1697"/>
      <c r="C35" s="532">
        <f>SUM(C31:C34)</f>
        <v>254</v>
      </c>
      <c r="D35" s="522">
        <f t="shared" ref="D35:I35" si="8">SUM(D31:D34)</f>
        <v>0</v>
      </c>
      <c r="E35" s="643">
        <f t="shared" si="8"/>
        <v>0</v>
      </c>
      <c r="F35" s="644">
        <f t="shared" si="8"/>
        <v>0</v>
      </c>
      <c r="G35" s="644">
        <f t="shared" si="8"/>
        <v>0</v>
      </c>
      <c r="H35" s="644">
        <f t="shared" si="8"/>
        <v>0</v>
      </c>
      <c r="I35" s="644">
        <f t="shared" si="8"/>
        <v>0</v>
      </c>
      <c r="J35" s="100">
        <f t="shared" ref="J35:J40" si="9">SUM(E35:I35)/C8</f>
        <v>0</v>
      </c>
      <c r="K35" s="1707">
        <f>SUM(K31:L34)</f>
        <v>0</v>
      </c>
      <c r="L35" s="1708"/>
      <c r="M35" s="1723" t="e">
        <f t="shared" si="7"/>
        <v>#DIV/0!</v>
      </c>
      <c r="N35" s="1724"/>
      <c r="O35" s="1724"/>
      <c r="P35" s="604"/>
    </row>
    <row r="36" spans="1:16" ht="15.75" thickBot="1">
      <c r="A36" s="1703" t="s">
        <v>119</v>
      </c>
      <c r="B36" s="520" t="s">
        <v>366</v>
      </c>
      <c r="C36" s="525">
        <f>'II-1º ANO'!B28</f>
        <v>21</v>
      </c>
      <c r="D36" s="512"/>
      <c r="E36" s="515"/>
      <c r="F36" s="515"/>
      <c r="G36" s="515"/>
      <c r="H36" s="515"/>
      <c r="I36" s="515"/>
      <c r="J36" s="519">
        <f t="shared" si="9"/>
        <v>0</v>
      </c>
      <c r="K36" s="1734"/>
      <c r="L36" s="1734"/>
      <c r="M36" s="1729" t="e">
        <f t="shared" si="7"/>
        <v>#DIV/0!</v>
      </c>
      <c r="N36" s="1730"/>
      <c r="O36" s="1730"/>
      <c r="P36" s="642"/>
    </row>
    <row r="37" spans="1:16" ht="15.75" thickBot="1">
      <c r="A37" s="1703"/>
      <c r="B37" s="520" t="s">
        <v>353</v>
      </c>
      <c r="C37" s="525">
        <f>'III-2º ANO'!B34</f>
        <v>57</v>
      </c>
      <c r="D37" s="512"/>
      <c r="E37" s="518"/>
      <c r="F37" s="645"/>
      <c r="G37" s="645"/>
      <c r="H37" s="645"/>
      <c r="I37" s="645"/>
      <c r="J37" s="519">
        <f t="shared" si="9"/>
        <v>0</v>
      </c>
      <c r="K37" s="1727"/>
      <c r="L37" s="1735"/>
      <c r="M37" s="1729" t="e">
        <f t="shared" si="7"/>
        <v>#DIV/0!</v>
      </c>
      <c r="N37" s="1730"/>
      <c r="O37" s="1730"/>
      <c r="P37" s="604"/>
    </row>
    <row r="38" spans="1:16" ht="15.75" thickBot="1">
      <c r="A38" s="1703"/>
      <c r="B38" s="520" t="s">
        <v>354</v>
      </c>
      <c r="C38" s="525">
        <f>'IV-3º ANO'!B35</f>
        <v>66</v>
      </c>
      <c r="D38" s="512"/>
      <c r="E38" s="512"/>
      <c r="F38" s="515"/>
      <c r="G38" s="515"/>
      <c r="H38" s="515"/>
      <c r="I38" s="515"/>
      <c r="J38" s="521">
        <f t="shared" si="9"/>
        <v>0</v>
      </c>
      <c r="K38" s="1716"/>
      <c r="L38" s="1731"/>
      <c r="M38" s="1714" t="e">
        <f t="shared" si="7"/>
        <v>#DIV/0!</v>
      </c>
      <c r="N38" s="1715"/>
      <c r="O38" s="1715"/>
      <c r="P38" s="604"/>
    </row>
    <row r="39" spans="1:16" ht="15.75" thickBot="1">
      <c r="A39" s="1703"/>
      <c r="B39" s="520" t="s">
        <v>355</v>
      </c>
      <c r="C39" s="525">
        <f>'V-4º ANO'!B36</f>
        <v>64</v>
      </c>
      <c r="D39" s="512"/>
      <c r="E39" s="512"/>
      <c r="F39" s="515"/>
      <c r="G39" s="515"/>
      <c r="H39" s="515"/>
      <c r="I39" s="515"/>
      <c r="J39" s="521">
        <f t="shared" si="9"/>
        <v>0</v>
      </c>
      <c r="K39" s="1716"/>
      <c r="L39" s="1731"/>
      <c r="M39" s="1714" t="e">
        <f t="shared" si="7"/>
        <v>#DIV/0!</v>
      </c>
      <c r="N39" s="1715"/>
      <c r="O39" s="1715"/>
      <c r="P39" s="604"/>
    </row>
    <row r="40" spans="1:16" ht="18.75" thickBot="1">
      <c r="A40" s="1696" t="s">
        <v>0</v>
      </c>
      <c r="B40" s="1697"/>
      <c r="C40" s="532">
        <f>SUM(C36:C39)</f>
        <v>208</v>
      </c>
      <c r="D40" s="522">
        <f t="shared" ref="D40:I40" si="10">SUM(D36:D39)</f>
        <v>0</v>
      </c>
      <c r="E40" s="523">
        <f t="shared" si="10"/>
        <v>0</v>
      </c>
      <c r="F40" s="524">
        <f t="shared" si="10"/>
        <v>0</v>
      </c>
      <c r="G40" s="524">
        <f t="shared" si="10"/>
        <v>0</v>
      </c>
      <c r="H40" s="524">
        <f t="shared" si="10"/>
        <v>0</v>
      </c>
      <c r="I40" s="524">
        <f t="shared" si="10"/>
        <v>0</v>
      </c>
      <c r="J40" s="441">
        <f t="shared" si="9"/>
        <v>0</v>
      </c>
      <c r="K40" s="1721">
        <f>SUM(K36:L39)</f>
        <v>0</v>
      </c>
      <c r="L40" s="1722"/>
      <c r="M40" s="1723" t="e">
        <f t="shared" si="7"/>
        <v>#DIV/0!</v>
      </c>
      <c r="N40" s="1724"/>
      <c r="O40" s="1724"/>
      <c r="P40" s="604"/>
    </row>
    <row r="41" spans="1:16" ht="15.75" customHeight="1" thickBot="1">
      <c r="A41" s="1700" t="s">
        <v>137</v>
      </c>
      <c r="B41" s="520" t="s">
        <v>1</v>
      </c>
      <c r="C41" s="525">
        <f>C15</f>
        <v>126</v>
      </c>
      <c r="D41" s="515">
        <f>SUM(E41:I41)</f>
        <v>10</v>
      </c>
      <c r="E41" s="515">
        <v>0</v>
      </c>
      <c r="F41" s="515">
        <v>1</v>
      </c>
      <c r="G41" s="515">
        <v>5</v>
      </c>
      <c r="H41" s="515">
        <v>4</v>
      </c>
      <c r="I41" s="515">
        <v>0</v>
      </c>
      <c r="J41" s="521">
        <f>D41/C41</f>
        <v>7.9365079365079361E-2</v>
      </c>
      <c r="K41" s="1716">
        <v>1</v>
      </c>
      <c r="L41" s="1731"/>
      <c r="M41" s="1714">
        <f t="shared" si="7"/>
        <v>0.1</v>
      </c>
      <c r="N41" s="1715"/>
      <c r="O41" s="1715"/>
      <c r="P41" s="604"/>
    </row>
    <row r="42" spans="1:16" ht="15.75" thickBot="1">
      <c r="A42" s="1701"/>
      <c r="B42" s="520" t="s">
        <v>2</v>
      </c>
      <c r="C42" s="525">
        <f>C16</f>
        <v>130</v>
      </c>
      <c r="D42" s="515">
        <f>SUM(E42:I42)</f>
        <v>18</v>
      </c>
      <c r="E42" s="515">
        <v>2</v>
      </c>
      <c r="F42" s="515">
        <v>0</v>
      </c>
      <c r="G42" s="515">
        <v>4</v>
      </c>
      <c r="H42" s="515">
        <v>7</v>
      </c>
      <c r="I42" s="515">
        <v>5</v>
      </c>
      <c r="J42" s="521">
        <f t="shared" ref="J42:J48" si="11">D42/C42</f>
        <v>0.13846153846153847</v>
      </c>
      <c r="K42" s="1716">
        <v>6</v>
      </c>
      <c r="L42" s="1731"/>
      <c r="M42" s="1714">
        <f t="shared" ref="M42:M49" si="12">K42/D42</f>
        <v>0.33333333333333331</v>
      </c>
      <c r="N42" s="1715"/>
      <c r="O42" s="1715"/>
      <c r="P42" s="604"/>
    </row>
    <row r="43" spans="1:16" ht="18.75" thickBot="1">
      <c r="A43" s="1701"/>
      <c r="B43" s="683" t="s">
        <v>154</v>
      </c>
      <c r="C43" s="431">
        <f t="shared" ref="C43:I43" si="13">SUM(C41:C42)</f>
        <v>256</v>
      </c>
      <c r="D43" s="522">
        <f t="shared" si="13"/>
        <v>28</v>
      </c>
      <c r="E43" s="522">
        <f t="shared" si="13"/>
        <v>2</v>
      </c>
      <c r="F43" s="522">
        <f t="shared" si="13"/>
        <v>1</v>
      </c>
      <c r="G43" s="522">
        <f t="shared" si="13"/>
        <v>9</v>
      </c>
      <c r="H43" s="522">
        <f t="shared" si="13"/>
        <v>11</v>
      </c>
      <c r="I43" s="522">
        <f t="shared" si="13"/>
        <v>5</v>
      </c>
      <c r="J43" s="441">
        <f>SUM(E43:I43)/C43</f>
        <v>0.109375</v>
      </c>
      <c r="K43" s="1721">
        <f>SUM(K41:L42)</f>
        <v>7</v>
      </c>
      <c r="L43" s="1722"/>
      <c r="M43" s="1723">
        <f>K43/D43</f>
        <v>0.25</v>
      </c>
      <c r="N43" s="1724"/>
      <c r="O43" s="1724"/>
      <c r="P43" s="604"/>
    </row>
    <row r="44" spans="1:16" ht="15.75" thickBot="1">
      <c r="A44" s="1701"/>
      <c r="B44" s="520" t="s">
        <v>3</v>
      </c>
      <c r="C44" s="525">
        <f>C18</f>
        <v>126</v>
      </c>
      <c r="D44" s="515">
        <f>SUM(E44:I44)</f>
        <v>20</v>
      </c>
      <c r="E44" s="515">
        <v>0</v>
      </c>
      <c r="F44" s="515">
        <v>8</v>
      </c>
      <c r="G44" s="515">
        <v>7</v>
      </c>
      <c r="H44" s="515">
        <v>5</v>
      </c>
      <c r="I44" s="515">
        <v>0</v>
      </c>
      <c r="J44" s="521">
        <f t="shared" si="11"/>
        <v>0.15873015873015872</v>
      </c>
      <c r="K44" s="1716">
        <v>2</v>
      </c>
      <c r="L44" s="1731"/>
      <c r="M44" s="1714">
        <f t="shared" si="12"/>
        <v>0.1</v>
      </c>
      <c r="N44" s="1715"/>
      <c r="O44" s="1715"/>
      <c r="P44" s="604"/>
    </row>
    <row r="45" spans="1:16" ht="15.75" thickBot="1">
      <c r="A45" s="1701"/>
      <c r="B45" s="520" t="s">
        <v>4</v>
      </c>
      <c r="C45" s="525">
        <f>C19</f>
        <v>110</v>
      </c>
      <c r="D45" s="515">
        <f>SUM(E45:I45)</f>
        <v>10</v>
      </c>
      <c r="E45" s="515">
        <v>0</v>
      </c>
      <c r="F45" s="515">
        <v>5</v>
      </c>
      <c r="G45" s="515">
        <v>3</v>
      </c>
      <c r="H45" s="515">
        <v>2</v>
      </c>
      <c r="I45" s="515">
        <v>0</v>
      </c>
      <c r="J45" s="521">
        <f t="shared" si="11"/>
        <v>9.0909090909090912E-2</v>
      </c>
      <c r="K45" s="1716">
        <v>4</v>
      </c>
      <c r="L45" s="1731"/>
      <c r="M45" s="1714">
        <f t="shared" si="12"/>
        <v>0.4</v>
      </c>
      <c r="N45" s="1715"/>
      <c r="O45" s="1715"/>
      <c r="P45" s="604"/>
    </row>
    <row r="46" spans="1:16" ht="15.75" thickBot="1">
      <c r="A46" s="1701"/>
      <c r="B46" s="520" t="s">
        <v>5</v>
      </c>
      <c r="C46" s="525">
        <f>C20</f>
        <v>86</v>
      </c>
      <c r="D46" s="515">
        <f>SUM(E46:I46)</f>
        <v>6</v>
      </c>
      <c r="E46" s="515">
        <v>0</v>
      </c>
      <c r="F46" s="515">
        <v>1</v>
      </c>
      <c r="G46" s="515">
        <v>1</v>
      </c>
      <c r="H46" s="515">
        <v>3</v>
      </c>
      <c r="I46" s="515">
        <v>1</v>
      </c>
      <c r="J46" s="521">
        <f t="shared" si="11"/>
        <v>6.9767441860465115E-2</v>
      </c>
      <c r="K46" s="1716">
        <v>2</v>
      </c>
      <c r="L46" s="1731"/>
      <c r="M46" s="1714">
        <f t="shared" si="12"/>
        <v>0.33333333333333331</v>
      </c>
      <c r="N46" s="1715"/>
      <c r="O46" s="1715"/>
      <c r="P46" s="604"/>
    </row>
    <row r="47" spans="1:16" ht="18.75" thickBot="1">
      <c r="A47" s="1701"/>
      <c r="B47" s="683" t="s">
        <v>157</v>
      </c>
      <c r="C47" s="431">
        <f t="shared" ref="C47:I47" si="14">SUM(C44:C46)</f>
        <v>322</v>
      </c>
      <c r="D47" s="522">
        <f t="shared" si="14"/>
        <v>36</v>
      </c>
      <c r="E47" s="522">
        <f t="shared" si="14"/>
        <v>0</v>
      </c>
      <c r="F47" s="522">
        <f t="shared" si="14"/>
        <v>14</v>
      </c>
      <c r="G47" s="522">
        <f t="shared" si="14"/>
        <v>11</v>
      </c>
      <c r="H47" s="522">
        <f t="shared" si="14"/>
        <v>10</v>
      </c>
      <c r="I47" s="522">
        <f t="shared" si="14"/>
        <v>1</v>
      </c>
      <c r="J47" s="441">
        <f>SUM(E47:I47)/C47</f>
        <v>0.11180124223602485</v>
      </c>
      <c r="K47" s="1721">
        <f>SUM(K44:L46)</f>
        <v>8</v>
      </c>
      <c r="L47" s="1722"/>
      <c r="M47" s="1723">
        <f t="shared" si="12"/>
        <v>0.22222222222222221</v>
      </c>
      <c r="N47" s="1724"/>
      <c r="O47" s="1724"/>
      <c r="P47" s="604"/>
    </row>
    <row r="48" spans="1:16" ht="15.75" thickBot="1">
      <c r="A48" s="1702"/>
      <c r="B48" s="520" t="s">
        <v>93</v>
      </c>
      <c r="C48" s="525">
        <f>'XI-CEF''S'!B12</f>
        <v>59</v>
      </c>
      <c r="D48" s="515">
        <f>SUM(E48:I48)</f>
        <v>11</v>
      </c>
      <c r="E48" s="515">
        <v>0</v>
      </c>
      <c r="F48" s="515">
        <v>2</v>
      </c>
      <c r="G48" s="515">
        <v>3</v>
      </c>
      <c r="H48" s="515">
        <v>6</v>
      </c>
      <c r="I48" s="515">
        <v>0</v>
      </c>
      <c r="J48" s="521">
        <f t="shared" si="11"/>
        <v>0.1864406779661017</v>
      </c>
      <c r="K48" s="1736">
        <v>11</v>
      </c>
      <c r="L48" s="1737"/>
      <c r="M48" s="1714">
        <f t="shared" si="12"/>
        <v>1</v>
      </c>
      <c r="N48" s="1715"/>
      <c r="O48" s="1715"/>
      <c r="P48" s="604"/>
    </row>
    <row r="49" spans="1:16" ht="19.5" thickBot="1">
      <c r="A49" s="1698" t="s">
        <v>0</v>
      </c>
      <c r="B49" s="1699" t="s">
        <v>0</v>
      </c>
      <c r="C49" s="237">
        <f t="shared" ref="C49:I49" si="15">SUM(C43,C47,C48)</f>
        <v>637</v>
      </c>
      <c r="D49" s="532">
        <f t="shared" si="15"/>
        <v>75</v>
      </c>
      <c r="E49" s="526">
        <f t="shared" si="15"/>
        <v>2</v>
      </c>
      <c r="F49" s="526">
        <f t="shared" si="15"/>
        <v>17</v>
      </c>
      <c r="G49" s="526">
        <f t="shared" si="15"/>
        <v>23</v>
      </c>
      <c r="H49" s="526">
        <f t="shared" si="15"/>
        <v>27</v>
      </c>
      <c r="I49" s="526">
        <f t="shared" si="15"/>
        <v>6</v>
      </c>
      <c r="J49" s="441">
        <f>SUM(E49:I49)/C49</f>
        <v>0.11773940345368916</v>
      </c>
      <c r="K49" s="1732">
        <f>SUM(K43,K47,K48)</f>
        <v>26</v>
      </c>
      <c r="L49" s="1733"/>
      <c r="M49" s="1723">
        <f t="shared" si="12"/>
        <v>0.34666666666666668</v>
      </c>
      <c r="N49" s="1724"/>
      <c r="O49" s="1724"/>
      <c r="P49" s="604"/>
    </row>
    <row r="50" spans="1:16" ht="32.25" customHeight="1" thickBot="1">
      <c r="A50" s="1705" t="s">
        <v>367</v>
      </c>
      <c r="B50" s="1719"/>
      <c r="C50" s="237">
        <f>C35+C40+C49</f>
        <v>1099</v>
      </c>
      <c r="D50" s="486">
        <f t="shared" ref="D50:I50" si="16">D35+D40+D49</f>
        <v>75</v>
      </c>
      <c r="E50" s="487">
        <f t="shared" si="16"/>
        <v>2</v>
      </c>
      <c r="F50" s="487">
        <f t="shared" si="16"/>
        <v>17</v>
      </c>
      <c r="G50" s="487">
        <f t="shared" si="16"/>
        <v>23</v>
      </c>
      <c r="H50" s="487">
        <f t="shared" si="16"/>
        <v>27</v>
      </c>
      <c r="I50" s="487">
        <f t="shared" si="16"/>
        <v>6</v>
      </c>
      <c r="J50" s="485">
        <f>SUM(E50:I50)/C22</f>
        <v>7.9030558482613283E-2</v>
      </c>
      <c r="K50" s="1720">
        <f>K35+K40+K49</f>
        <v>26</v>
      </c>
      <c r="L50" s="1657"/>
      <c r="M50" s="1725">
        <f>K50/D50</f>
        <v>0.34666666666666668</v>
      </c>
      <c r="N50" s="1725"/>
      <c r="O50" s="1726"/>
      <c r="P50" s="603"/>
    </row>
  </sheetData>
  <mergeCells count="188">
    <mergeCell ref="M45:O45"/>
    <mergeCell ref="M46:O46"/>
    <mergeCell ref="M48:O48"/>
    <mergeCell ref="M36:O36"/>
    <mergeCell ref="K42:L42"/>
    <mergeCell ref="K44:L44"/>
    <mergeCell ref="K49:L49"/>
    <mergeCell ref="K36:L36"/>
    <mergeCell ref="K37:L37"/>
    <mergeCell ref="K38:L38"/>
    <mergeCell ref="K39:L39"/>
    <mergeCell ref="K40:L40"/>
    <mergeCell ref="K41:L41"/>
    <mergeCell ref="K48:L48"/>
    <mergeCell ref="K46:L46"/>
    <mergeCell ref="K45:L45"/>
    <mergeCell ref="A50:B50"/>
    <mergeCell ref="D29:D30"/>
    <mergeCell ref="K50:L50"/>
    <mergeCell ref="A40:B40"/>
    <mergeCell ref="J29:J30"/>
    <mergeCell ref="K29:L30"/>
    <mergeCell ref="K43:L43"/>
    <mergeCell ref="M43:O43"/>
    <mergeCell ref="K47:L47"/>
    <mergeCell ref="M47:O47"/>
    <mergeCell ref="M50:O50"/>
    <mergeCell ref="M49:O49"/>
    <mergeCell ref="M41:O41"/>
    <mergeCell ref="M42:O42"/>
    <mergeCell ref="M44:O44"/>
    <mergeCell ref="K31:L31"/>
    <mergeCell ref="K32:L32"/>
    <mergeCell ref="M37:O37"/>
    <mergeCell ref="M38:O38"/>
    <mergeCell ref="M39:O39"/>
    <mergeCell ref="M40:O40"/>
    <mergeCell ref="K34:L34"/>
    <mergeCell ref="M34:O34"/>
    <mergeCell ref="M35:O35"/>
    <mergeCell ref="M11:N11"/>
    <mergeCell ref="O11:P11"/>
    <mergeCell ref="K35:L35"/>
    <mergeCell ref="M20:N20"/>
    <mergeCell ref="O20:P20"/>
    <mergeCell ref="M22:N22"/>
    <mergeCell ref="O22:P22"/>
    <mergeCell ref="M16:N16"/>
    <mergeCell ref="O16:P16"/>
    <mergeCell ref="P29:P30"/>
    <mergeCell ref="M14:N14"/>
    <mergeCell ref="O14:P14"/>
    <mergeCell ref="M29:O30"/>
    <mergeCell ref="M31:O31"/>
    <mergeCell ref="M32:O32"/>
    <mergeCell ref="M33:O33"/>
    <mergeCell ref="K33:L33"/>
    <mergeCell ref="O19:P19"/>
    <mergeCell ref="O15:P15"/>
    <mergeCell ref="M13:N13"/>
    <mergeCell ref="O13:P13"/>
    <mergeCell ref="O17:P17"/>
    <mergeCell ref="O18:P18"/>
    <mergeCell ref="O21:P21"/>
    <mergeCell ref="F12:G12"/>
    <mergeCell ref="F13:G13"/>
    <mergeCell ref="A49:B49"/>
    <mergeCell ref="A41:A48"/>
    <mergeCell ref="E29:I29"/>
    <mergeCell ref="A18:A20"/>
    <mergeCell ref="H11:I11"/>
    <mergeCell ref="H4:I4"/>
    <mergeCell ref="H5:I5"/>
    <mergeCell ref="H6:I6"/>
    <mergeCell ref="H7:I7"/>
    <mergeCell ref="H13:I13"/>
    <mergeCell ref="A31:A34"/>
    <mergeCell ref="A35:B35"/>
    <mergeCell ref="A36:A39"/>
    <mergeCell ref="H17:I17"/>
    <mergeCell ref="H15:I15"/>
    <mergeCell ref="H22:I22"/>
    <mergeCell ref="A22:B22"/>
    <mergeCell ref="A29:A30"/>
    <mergeCell ref="B29:B30"/>
    <mergeCell ref="C29:C30"/>
    <mergeCell ref="H12:I12"/>
    <mergeCell ref="F16:G16"/>
    <mergeCell ref="A2:A3"/>
    <mergeCell ref="B2:B3"/>
    <mergeCell ref="C2:C3"/>
    <mergeCell ref="F22:G22"/>
    <mergeCell ref="F9:G9"/>
    <mergeCell ref="F10:G10"/>
    <mergeCell ref="F11:G11"/>
    <mergeCell ref="F4:G4"/>
    <mergeCell ref="F5:G5"/>
    <mergeCell ref="F20:G20"/>
    <mergeCell ref="F15:G15"/>
    <mergeCell ref="A17:B17"/>
    <mergeCell ref="A21:B21"/>
    <mergeCell ref="F17:G17"/>
    <mergeCell ref="F7:G7"/>
    <mergeCell ref="F8:G8"/>
    <mergeCell ref="A4:A7"/>
    <mergeCell ref="A8:B8"/>
    <mergeCell ref="A9:A12"/>
    <mergeCell ref="A13:B13"/>
    <mergeCell ref="F6:G6"/>
    <mergeCell ref="F3:G3"/>
    <mergeCell ref="D2:J2"/>
    <mergeCell ref="F19:G19"/>
    <mergeCell ref="A14:B14"/>
    <mergeCell ref="F14:G14"/>
    <mergeCell ref="H14:I14"/>
    <mergeCell ref="A15:A16"/>
    <mergeCell ref="M15:N15"/>
    <mergeCell ref="H21:I21"/>
    <mergeCell ref="M21:N21"/>
    <mergeCell ref="H16:I16"/>
    <mergeCell ref="H18:I18"/>
    <mergeCell ref="H19:I19"/>
    <mergeCell ref="F18:G18"/>
    <mergeCell ref="M17:N17"/>
    <mergeCell ref="F21:G21"/>
    <mergeCell ref="H20:I20"/>
    <mergeCell ref="M18:N18"/>
    <mergeCell ref="M19:N19"/>
    <mergeCell ref="H3:I3"/>
    <mergeCell ref="M3:N3"/>
    <mergeCell ref="O3:P3"/>
    <mergeCell ref="T10:U10"/>
    <mergeCell ref="V10:W10"/>
    <mergeCell ref="V3:W3"/>
    <mergeCell ref="T4:U4"/>
    <mergeCell ref="V4:W4"/>
    <mergeCell ref="T5:U5"/>
    <mergeCell ref="M6:N6"/>
    <mergeCell ref="O6:P6"/>
    <mergeCell ref="M7:N7"/>
    <mergeCell ref="O7:P7"/>
    <mergeCell ref="M8:N8"/>
    <mergeCell ref="O8:P8"/>
    <mergeCell ref="M10:N10"/>
    <mergeCell ref="H8:I8"/>
    <mergeCell ref="H9:I9"/>
    <mergeCell ref="H10:I10"/>
    <mergeCell ref="M4:N4"/>
    <mergeCell ref="O4:P4"/>
    <mergeCell ref="M5:N5"/>
    <mergeCell ref="M9:N9"/>
    <mergeCell ref="O9:P9"/>
    <mergeCell ref="K2:Q2"/>
    <mergeCell ref="R2:X2"/>
    <mergeCell ref="T18:U18"/>
    <mergeCell ref="V18:W18"/>
    <mergeCell ref="T11:U11"/>
    <mergeCell ref="V11:W11"/>
    <mergeCell ref="T12:U12"/>
    <mergeCell ref="V12:W12"/>
    <mergeCell ref="T13:U13"/>
    <mergeCell ref="V16:W16"/>
    <mergeCell ref="V5:W5"/>
    <mergeCell ref="T3:U3"/>
    <mergeCell ref="T8:U8"/>
    <mergeCell ref="V8:W8"/>
    <mergeCell ref="T9:U9"/>
    <mergeCell ref="V9:W9"/>
    <mergeCell ref="T6:U6"/>
    <mergeCell ref="V6:W6"/>
    <mergeCell ref="T7:U7"/>
    <mergeCell ref="V7:W7"/>
    <mergeCell ref="M12:N12"/>
    <mergeCell ref="O12:P12"/>
    <mergeCell ref="O5:P5"/>
    <mergeCell ref="O10:P10"/>
    <mergeCell ref="T22:U22"/>
    <mergeCell ref="V22:W22"/>
    <mergeCell ref="T19:U19"/>
    <mergeCell ref="V19:W19"/>
    <mergeCell ref="T20:U20"/>
    <mergeCell ref="V20:W20"/>
    <mergeCell ref="V13:W13"/>
    <mergeCell ref="T15:U15"/>
    <mergeCell ref="V15:W15"/>
    <mergeCell ref="T16:U16"/>
    <mergeCell ref="T21:U21"/>
    <mergeCell ref="V21:W21"/>
  </mergeCells>
  <phoneticPr fontId="0" type="noConversion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36"/>
  <sheetViews>
    <sheetView showGridLines="0" workbookViewId="0">
      <selection activeCell="M15" sqref="M15"/>
    </sheetView>
  </sheetViews>
  <sheetFormatPr defaultRowHeight="12.75"/>
  <cols>
    <col min="3" max="3" width="20.42578125" customWidth="1"/>
    <col min="4" max="4" width="27.5703125" customWidth="1"/>
    <col min="6" max="6" width="12.85546875" customWidth="1"/>
  </cols>
  <sheetData>
    <row r="1" spans="1:6" ht="26.25" customHeight="1">
      <c r="A1" s="1743" t="s">
        <v>358</v>
      </c>
      <c r="B1" s="1743" t="s">
        <v>84</v>
      </c>
      <c r="C1" s="1743" t="s">
        <v>401</v>
      </c>
      <c r="D1" s="1743" t="s">
        <v>402</v>
      </c>
      <c r="E1" s="1743" t="s">
        <v>147</v>
      </c>
      <c r="F1" s="1738" t="s">
        <v>462</v>
      </c>
    </row>
    <row r="2" spans="1:6" ht="23.25" customHeight="1" thickBot="1">
      <c r="A2" s="1675"/>
      <c r="B2" s="1675"/>
      <c r="C2" s="1675"/>
      <c r="D2" s="1675"/>
      <c r="E2" s="1675"/>
      <c r="F2" s="1739"/>
    </row>
    <row r="3" spans="1:6" ht="15.75" thickBot="1">
      <c r="A3" s="1639" t="s">
        <v>243</v>
      </c>
      <c r="B3" s="88">
        <v>1</v>
      </c>
      <c r="C3" s="1744">
        <v>9</v>
      </c>
      <c r="D3" s="117">
        <v>5</v>
      </c>
      <c r="E3" s="380">
        <f>D3/C3</f>
        <v>0.55555555555555558</v>
      </c>
      <c r="F3" s="606"/>
    </row>
    <row r="4" spans="1:6" ht="15.75" thickBot="1">
      <c r="A4" s="1741"/>
      <c r="B4" s="88">
        <v>2</v>
      </c>
      <c r="C4" s="1744"/>
      <c r="D4" s="117">
        <v>7</v>
      </c>
      <c r="E4" s="380">
        <f>D4/C3</f>
        <v>0.77777777777777779</v>
      </c>
      <c r="F4" s="607"/>
    </row>
    <row r="5" spans="1:6" ht="15.75" thickBot="1">
      <c r="A5" s="1741"/>
      <c r="B5" s="88">
        <v>3</v>
      </c>
      <c r="C5" s="1744"/>
      <c r="D5" s="117">
        <v>5</v>
      </c>
      <c r="E5" s="380">
        <f>D5/C3</f>
        <v>0.55555555555555558</v>
      </c>
      <c r="F5" s="607"/>
    </row>
    <row r="6" spans="1:6" ht="15.75" thickBot="1">
      <c r="A6" s="1741"/>
      <c r="B6" s="88">
        <v>4</v>
      </c>
      <c r="C6" s="1744"/>
      <c r="D6" s="117">
        <v>9</v>
      </c>
      <c r="E6" s="380">
        <f>D6/C3</f>
        <v>1</v>
      </c>
      <c r="F6" s="607"/>
    </row>
    <row r="7" spans="1:6" ht="15.75" thickBot="1">
      <c r="A7" s="1741"/>
      <c r="B7" s="88">
        <v>5</v>
      </c>
      <c r="C7" s="1744"/>
      <c r="D7" s="117">
        <v>7</v>
      </c>
      <c r="E7" s="380">
        <f>D7/C3</f>
        <v>0.77777777777777779</v>
      </c>
      <c r="F7" s="607"/>
    </row>
    <row r="8" spans="1:6" ht="17.25" thickBot="1">
      <c r="A8" s="1740" t="s">
        <v>403</v>
      </c>
      <c r="B8" s="1699"/>
      <c r="C8" s="86">
        <v>9</v>
      </c>
      <c r="D8" s="383">
        <f>AVERAGE(D3:D7)</f>
        <v>6.6</v>
      </c>
      <c r="E8" s="382">
        <f>D8/C8</f>
        <v>0.73333333333333328</v>
      </c>
      <c r="F8" s="608">
        <v>1</v>
      </c>
    </row>
    <row r="9" spans="1:6" ht="15.75" thickBot="1">
      <c r="A9" s="1639" t="s">
        <v>244</v>
      </c>
      <c r="B9" s="88">
        <v>1</v>
      </c>
      <c r="C9" s="1742">
        <v>9</v>
      </c>
      <c r="D9" s="323">
        <v>9</v>
      </c>
      <c r="E9" s="380">
        <f>D9/C9</f>
        <v>1</v>
      </c>
      <c r="F9" s="607"/>
    </row>
    <row r="10" spans="1:6" ht="15.75" thickBot="1">
      <c r="A10" s="1741"/>
      <c r="B10" s="88">
        <v>2</v>
      </c>
      <c r="C10" s="1742"/>
      <c r="D10" s="117">
        <v>9</v>
      </c>
      <c r="E10" s="380">
        <f>D10/C9</f>
        <v>1</v>
      </c>
      <c r="F10" s="607"/>
    </row>
    <row r="11" spans="1:6" ht="15.75" thickBot="1">
      <c r="A11" s="1741"/>
      <c r="B11" s="88">
        <v>3</v>
      </c>
      <c r="C11" s="1742"/>
      <c r="D11" s="117">
        <v>8</v>
      </c>
      <c r="E11" s="380">
        <f>D11/C9</f>
        <v>0.88888888888888884</v>
      </c>
      <c r="F11" s="607"/>
    </row>
    <row r="12" spans="1:6" ht="15.75" thickBot="1">
      <c r="A12" s="1741"/>
      <c r="B12" s="88">
        <v>4</v>
      </c>
      <c r="C12" s="1742"/>
      <c r="D12" s="117">
        <v>8</v>
      </c>
      <c r="E12" s="380">
        <f>D12/C9</f>
        <v>0.88888888888888884</v>
      </c>
      <c r="F12" s="607"/>
    </row>
    <row r="13" spans="1:6" ht="15.75" thickBot="1">
      <c r="A13" s="1741"/>
      <c r="B13" s="88">
        <v>5</v>
      </c>
      <c r="C13" s="1742"/>
      <c r="D13" s="476">
        <v>8</v>
      </c>
      <c r="E13" s="380">
        <f>D13/C9</f>
        <v>0.88888888888888884</v>
      </c>
      <c r="F13" s="607"/>
    </row>
    <row r="14" spans="1:6" ht="15.75" thickBot="1">
      <c r="A14" s="1741"/>
      <c r="B14" s="88">
        <v>6</v>
      </c>
      <c r="C14" s="1742"/>
      <c r="D14" s="117" t="s">
        <v>454</v>
      </c>
      <c r="E14" s="380">
        <f>10/10</f>
        <v>1</v>
      </c>
      <c r="F14" s="607"/>
    </row>
    <row r="15" spans="1:6" ht="15.75" thickBot="1">
      <c r="A15" s="1640"/>
      <c r="B15" s="88">
        <v>7</v>
      </c>
      <c r="C15" s="1742"/>
      <c r="D15" s="381">
        <v>7</v>
      </c>
      <c r="E15" s="380">
        <f>D15/C9</f>
        <v>0.77777777777777779</v>
      </c>
      <c r="F15" s="607"/>
    </row>
    <row r="16" spans="1:6" ht="17.25" thickBot="1">
      <c r="A16" s="1740" t="s">
        <v>403</v>
      </c>
      <c r="B16" s="1699"/>
      <c r="C16" s="86">
        <v>9</v>
      </c>
      <c r="D16" s="383">
        <f>AVERAGE(D9:D15)</f>
        <v>8.1666666666666661</v>
      </c>
      <c r="E16" s="382">
        <f>D16/C16</f>
        <v>0.90740740740740733</v>
      </c>
      <c r="F16" s="608">
        <v>1</v>
      </c>
    </row>
    <row r="17" spans="1:6" ht="15.75" thickBot="1">
      <c r="A17" s="1639" t="s">
        <v>246</v>
      </c>
      <c r="B17" s="88">
        <v>1</v>
      </c>
      <c r="C17" s="1742">
        <v>13</v>
      </c>
      <c r="D17" s="323">
        <v>11</v>
      </c>
      <c r="E17" s="380">
        <f>D17/C17</f>
        <v>0.84615384615384615</v>
      </c>
      <c r="F17" s="607"/>
    </row>
    <row r="18" spans="1:6" ht="15.75" thickBot="1">
      <c r="A18" s="1741"/>
      <c r="B18" s="88">
        <v>2</v>
      </c>
      <c r="C18" s="1742"/>
      <c r="D18" s="117">
        <v>9</v>
      </c>
      <c r="E18" s="380">
        <f>D18/C17</f>
        <v>0.69230769230769229</v>
      </c>
      <c r="F18" s="607"/>
    </row>
    <row r="19" spans="1:6" ht="15.75" thickBot="1">
      <c r="A19" s="1741"/>
      <c r="B19" s="88">
        <v>3</v>
      </c>
      <c r="C19" s="1742"/>
      <c r="D19" s="117">
        <v>10</v>
      </c>
      <c r="E19" s="380">
        <f>D19/C17</f>
        <v>0.76923076923076927</v>
      </c>
      <c r="F19" s="607"/>
    </row>
    <row r="20" spans="1:6" ht="15.75" thickBot="1">
      <c r="A20" s="1741"/>
      <c r="B20" s="88">
        <v>4</v>
      </c>
      <c r="C20" s="1742"/>
      <c r="D20" s="117">
        <v>11</v>
      </c>
      <c r="E20" s="380">
        <f>D20/C17</f>
        <v>0.84615384615384615</v>
      </c>
      <c r="F20" s="607"/>
    </row>
    <row r="21" spans="1:6" ht="15.75" thickBot="1">
      <c r="A21" s="1741"/>
      <c r="B21" s="88">
        <v>5</v>
      </c>
      <c r="C21" s="1742"/>
      <c r="D21" s="117">
        <v>9</v>
      </c>
      <c r="E21" s="380">
        <f>D21/C17</f>
        <v>0.69230769230769229</v>
      </c>
      <c r="F21" s="607"/>
    </row>
    <row r="22" spans="1:6" ht="15.75" thickBot="1">
      <c r="A22" s="1640"/>
      <c r="B22" s="88">
        <v>6</v>
      </c>
      <c r="C22" s="1742"/>
      <c r="D22" s="381">
        <v>11</v>
      </c>
      <c r="E22" s="380">
        <f>D22/C17</f>
        <v>0.84615384615384615</v>
      </c>
      <c r="F22" s="607"/>
    </row>
    <row r="23" spans="1:6" ht="17.25" thickBot="1">
      <c r="A23" s="1740" t="s">
        <v>403</v>
      </c>
      <c r="B23" s="1699"/>
      <c r="C23" s="86">
        <v>13</v>
      </c>
      <c r="D23" s="383">
        <f>AVERAGE(D17:D22)</f>
        <v>10.166666666666666</v>
      </c>
      <c r="E23" s="382">
        <f>D23/C23</f>
        <v>0.78205128205128205</v>
      </c>
      <c r="F23" s="608">
        <v>1</v>
      </c>
    </row>
    <row r="24" spans="1:6" ht="15.75" thickBot="1">
      <c r="A24" s="1639" t="s">
        <v>247</v>
      </c>
      <c r="B24" s="88">
        <v>1</v>
      </c>
      <c r="C24" s="1742">
        <v>13</v>
      </c>
      <c r="D24" s="323">
        <v>12</v>
      </c>
      <c r="E24" s="380">
        <f>D24/C24</f>
        <v>0.92307692307692313</v>
      </c>
      <c r="F24" s="607"/>
    </row>
    <row r="25" spans="1:6" ht="15.75" thickBot="1">
      <c r="A25" s="1741"/>
      <c r="B25" s="88">
        <v>2</v>
      </c>
      <c r="C25" s="1742"/>
      <c r="D25" s="117">
        <v>13</v>
      </c>
      <c r="E25" s="380">
        <f>D25/C24</f>
        <v>1</v>
      </c>
      <c r="F25" s="607"/>
    </row>
    <row r="26" spans="1:6" ht="15.75" thickBot="1">
      <c r="A26" s="1741"/>
      <c r="B26" s="88">
        <v>3</v>
      </c>
      <c r="C26" s="1742"/>
      <c r="D26" s="117">
        <v>12</v>
      </c>
      <c r="E26" s="380">
        <f>D26/C24</f>
        <v>0.92307692307692313</v>
      </c>
      <c r="F26" s="607"/>
    </row>
    <row r="27" spans="1:6" ht="15.75" thickBot="1">
      <c r="A27" s="1741"/>
      <c r="B27" s="88">
        <v>4</v>
      </c>
      <c r="C27" s="1742"/>
      <c r="D27" s="117">
        <v>11</v>
      </c>
      <c r="E27" s="380">
        <f>D27/C24</f>
        <v>0.84615384615384615</v>
      </c>
      <c r="F27" s="607"/>
    </row>
    <row r="28" spans="1:6" ht="15.75" thickBot="1">
      <c r="A28" s="1741"/>
      <c r="B28" s="319">
        <v>5</v>
      </c>
      <c r="C28" s="1742"/>
      <c r="D28" s="381">
        <v>12</v>
      </c>
      <c r="E28" s="380">
        <f>D28/C24</f>
        <v>0.92307692307692313</v>
      </c>
      <c r="F28" s="607"/>
    </row>
    <row r="29" spans="1:6" ht="17.25" thickBot="1">
      <c r="A29" s="1740" t="s">
        <v>403</v>
      </c>
      <c r="B29" s="1699"/>
      <c r="C29" s="86">
        <v>13</v>
      </c>
      <c r="D29" s="383">
        <f>AVERAGE(D24:D28)</f>
        <v>12</v>
      </c>
      <c r="E29" s="382">
        <f>D29/C29</f>
        <v>0.92307692307692313</v>
      </c>
      <c r="F29" s="608">
        <v>1</v>
      </c>
    </row>
    <row r="30" spans="1:6" ht="15.75" thickBot="1">
      <c r="A30" s="1746" t="s">
        <v>248</v>
      </c>
      <c r="B30" s="320">
        <v>1</v>
      </c>
      <c r="C30" s="1742">
        <v>13</v>
      </c>
      <c r="D30" s="323">
        <v>12</v>
      </c>
      <c r="E30" s="380">
        <f>D30/C30</f>
        <v>0.92307692307692313</v>
      </c>
      <c r="F30" s="607"/>
    </row>
    <row r="31" spans="1:6" ht="15.75" thickBot="1">
      <c r="A31" s="1746"/>
      <c r="B31" s="88">
        <v>2</v>
      </c>
      <c r="C31" s="1742"/>
      <c r="D31" s="117">
        <v>12</v>
      </c>
      <c r="E31" s="380">
        <f>D31/C30</f>
        <v>0.92307692307692313</v>
      </c>
      <c r="F31" s="607"/>
    </row>
    <row r="32" spans="1:6" ht="15.75" thickBot="1">
      <c r="A32" s="1746"/>
      <c r="B32" s="88">
        <v>3</v>
      </c>
      <c r="C32" s="1742"/>
      <c r="D32" s="117">
        <v>13</v>
      </c>
      <c r="E32" s="380">
        <f>D32/C30</f>
        <v>1</v>
      </c>
      <c r="F32" s="607"/>
    </row>
    <row r="33" spans="1:6" ht="15.75" thickBot="1">
      <c r="A33" s="1746"/>
      <c r="B33" s="88">
        <v>4</v>
      </c>
      <c r="C33" s="1742"/>
      <c r="D33" s="117">
        <v>12</v>
      </c>
      <c r="E33" s="380">
        <f>D33/C30</f>
        <v>0.92307692307692313</v>
      </c>
      <c r="F33" s="607"/>
    </row>
    <row r="34" spans="1:6" ht="17.25" thickBot="1">
      <c r="A34" s="1740" t="s">
        <v>403</v>
      </c>
      <c r="B34" s="1699"/>
      <c r="C34" s="86">
        <v>13</v>
      </c>
      <c r="D34" s="383">
        <f>AVERAGE(D30:D33)</f>
        <v>12.25</v>
      </c>
      <c r="E34" s="382">
        <f>D34/C34</f>
        <v>0.94230769230769229</v>
      </c>
      <c r="F34" s="609">
        <v>1</v>
      </c>
    </row>
    <row r="35" spans="1:6" ht="36" customHeight="1" thickBot="1">
      <c r="A35" s="1705" t="s">
        <v>404</v>
      </c>
      <c r="B35" s="1745"/>
      <c r="C35" s="86">
        <f>C34+C29+C23+C16+C8</f>
        <v>57</v>
      </c>
      <c r="D35" s="383">
        <f>D34+D29+D23+D16+D8</f>
        <v>49.18333333333333</v>
      </c>
      <c r="E35" s="551">
        <f>D35/C35</f>
        <v>0.86286549707602334</v>
      </c>
      <c r="F35" s="610"/>
    </row>
    <row r="36" spans="1:6" ht="15">
      <c r="A36" s="81" t="s">
        <v>455</v>
      </c>
    </row>
  </sheetData>
  <mergeCells count="22">
    <mergeCell ref="A35:B35"/>
    <mergeCell ref="A23:B23"/>
    <mergeCell ref="A24:A28"/>
    <mergeCell ref="C24:C28"/>
    <mergeCell ref="A29:B29"/>
    <mergeCell ref="A30:A33"/>
    <mergeCell ref="C30:C33"/>
    <mergeCell ref="A34:B34"/>
    <mergeCell ref="F1:F2"/>
    <mergeCell ref="A16:B16"/>
    <mergeCell ref="A17:A22"/>
    <mergeCell ref="C17:C22"/>
    <mergeCell ref="C1:C2"/>
    <mergeCell ref="D1:D2"/>
    <mergeCell ref="E1:E2"/>
    <mergeCell ref="A8:B8"/>
    <mergeCell ref="A9:A15"/>
    <mergeCell ref="C9:C15"/>
    <mergeCell ref="A3:A7"/>
    <mergeCell ref="C3:C7"/>
    <mergeCell ref="A1:A2"/>
    <mergeCell ref="B1:B2"/>
  </mergeCells>
  <phoneticPr fontId="0" type="noConversion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34"/>
  <sheetViews>
    <sheetView showGridLines="0" workbookViewId="0">
      <selection activeCell="F5" sqref="F5"/>
    </sheetView>
  </sheetViews>
  <sheetFormatPr defaultRowHeight="12.75"/>
  <cols>
    <col min="1" max="1" width="22.140625" customWidth="1"/>
    <col min="2" max="2" width="12.7109375" customWidth="1"/>
    <col min="3" max="3" width="13.7109375" customWidth="1"/>
    <col min="4" max="4" width="17.7109375" customWidth="1"/>
    <col min="5" max="5" width="21.140625" customWidth="1"/>
    <col min="6" max="6" width="18.5703125" customWidth="1"/>
    <col min="7" max="7" width="12.42578125" customWidth="1"/>
  </cols>
  <sheetData>
    <row r="1" spans="1:7" ht="19.5" thickBot="1">
      <c r="A1" s="1747" t="s">
        <v>339</v>
      </c>
      <c r="B1" s="1747"/>
      <c r="C1" s="1747"/>
      <c r="D1" s="1747"/>
      <c r="E1" s="1747"/>
      <c r="F1" s="1747"/>
    </row>
    <row r="2" spans="1:7" ht="13.5" thickBot="1">
      <c r="A2" s="1748" t="s">
        <v>411</v>
      </c>
      <c r="B2" s="1749"/>
      <c r="C2" s="1749"/>
      <c r="D2" s="1749"/>
      <c r="E2" s="1749"/>
      <c r="F2" s="1750"/>
    </row>
    <row r="3" spans="1:7" ht="13.5" thickBot="1">
      <c r="A3" s="1608"/>
      <c r="B3" s="1609"/>
      <c r="C3" s="1609"/>
      <c r="D3" s="1609"/>
      <c r="E3" s="1609"/>
      <c r="F3" s="1751"/>
      <c r="G3" s="1762" t="s">
        <v>471</v>
      </c>
    </row>
    <row r="4" spans="1:7" ht="54.75" thickBot="1">
      <c r="A4" s="393" t="s">
        <v>235</v>
      </c>
      <c r="B4" s="394" t="s">
        <v>106</v>
      </c>
      <c r="C4" s="394" t="s">
        <v>412</v>
      </c>
      <c r="D4" s="394" t="s">
        <v>413</v>
      </c>
      <c r="E4" s="394" t="s">
        <v>414</v>
      </c>
      <c r="F4" s="394" t="s">
        <v>415</v>
      </c>
      <c r="G4" s="1763"/>
    </row>
    <row r="5" spans="1:7" ht="18.75" thickBot="1">
      <c r="A5" s="395" t="s">
        <v>416</v>
      </c>
      <c r="B5" s="396">
        <f>'XII-RESUMO'!C7</f>
        <v>0</v>
      </c>
      <c r="C5" s="397"/>
      <c r="D5" s="398" t="e">
        <f>C5/B5</f>
        <v>#DIV/0!</v>
      </c>
      <c r="E5" s="397"/>
      <c r="F5" s="552" t="e">
        <f>E5/C5</f>
        <v>#DIV/0!</v>
      </c>
      <c r="G5" s="612"/>
    </row>
    <row r="6" spans="1:7" ht="18.75" thickBot="1">
      <c r="A6" s="395" t="s">
        <v>341</v>
      </c>
      <c r="B6" s="396">
        <f>'XII-RESUMO'!C8</f>
        <v>0</v>
      </c>
      <c r="C6" s="397"/>
      <c r="D6" s="398" t="e">
        <f t="shared" ref="D6:D17" si="0">C6/B6</f>
        <v>#DIV/0!</v>
      </c>
      <c r="E6" s="397"/>
      <c r="F6" s="552" t="e">
        <f t="shared" ref="F6:F14" si="1">E6/C6</f>
        <v>#DIV/0!</v>
      </c>
      <c r="G6" s="613"/>
    </row>
    <row r="7" spans="1:7" ht="18.75" thickBot="1">
      <c r="A7" s="395" t="s">
        <v>342</v>
      </c>
      <c r="B7" s="396">
        <f>'XII-RESUMO'!C9</f>
        <v>0</v>
      </c>
      <c r="C7" s="397"/>
      <c r="D7" s="398" t="e">
        <f t="shared" si="0"/>
        <v>#DIV/0!</v>
      </c>
      <c r="E7" s="397"/>
      <c r="F7" s="552" t="e">
        <f t="shared" si="1"/>
        <v>#DIV/0!</v>
      </c>
      <c r="G7" s="613"/>
    </row>
    <row r="8" spans="1:7" ht="18.75" thickBot="1">
      <c r="A8" s="395" t="s">
        <v>343</v>
      </c>
      <c r="B8" s="396">
        <f>'XII-RESUMO'!C10</f>
        <v>0</v>
      </c>
      <c r="C8" s="399"/>
      <c r="D8" s="400" t="e">
        <f t="shared" si="0"/>
        <v>#DIV/0!</v>
      </c>
      <c r="E8" s="399"/>
      <c r="F8" s="553" t="e">
        <f t="shared" si="1"/>
        <v>#DIV/0!</v>
      </c>
      <c r="G8" s="613"/>
    </row>
    <row r="9" spans="1:7" ht="18.75" thickBot="1">
      <c r="A9" s="401" t="s">
        <v>152</v>
      </c>
      <c r="B9" s="402">
        <f>SUM(B5:B8)</f>
        <v>0</v>
      </c>
      <c r="C9" s="402">
        <f>SUM(C5:C8)</f>
        <v>0</v>
      </c>
      <c r="D9" s="403" t="e">
        <f t="shared" si="0"/>
        <v>#DIV/0!</v>
      </c>
      <c r="E9" s="402">
        <f>SUM(E5:E8)</f>
        <v>0</v>
      </c>
      <c r="F9" s="554" t="e">
        <f t="shared" si="1"/>
        <v>#DIV/0!</v>
      </c>
      <c r="G9" s="611"/>
    </row>
    <row r="10" spans="1:7" ht="18.75" thickBot="1">
      <c r="A10" s="404" t="s">
        <v>243</v>
      </c>
      <c r="B10" s="396">
        <f>'XII-RESUMO'!C12</f>
        <v>0</v>
      </c>
      <c r="C10" s="405">
        <f>20+7+21+14+14</f>
        <v>76</v>
      </c>
      <c r="D10" s="406" t="e">
        <f t="shared" si="0"/>
        <v>#DIV/0!</v>
      </c>
      <c r="E10" s="405">
        <f>16+7+11+9+12</f>
        <v>55</v>
      </c>
      <c r="F10" s="555">
        <f t="shared" si="1"/>
        <v>0.72368421052631582</v>
      </c>
      <c r="G10" s="612"/>
    </row>
    <row r="11" spans="1:7" ht="18.75" thickBot="1">
      <c r="A11" s="404" t="s">
        <v>244</v>
      </c>
      <c r="B11" s="396">
        <f>'XII-RESUMO'!C13</f>
        <v>0</v>
      </c>
      <c r="C11" s="397">
        <f>15+14+12+16+16+11+12</f>
        <v>96</v>
      </c>
      <c r="D11" s="398" t="e">
        <f t="shared" si="0"/>
        <v>#DIV/0!</v>
      </c>
      <c r="E11" s="397">
        <f>13+13+6+11+11+11+9</f>
        <v>74</v>
      </c>
      <c r="F11" s="552">
        <f t="shared" si="1"/>
        <v>0.77083333333333337</v>
      </c>
      <c r="G11" s="613"/>
    </row>
    <row r="12" spans="1:7" ht="18.75" thickBot="1">
      <c r="A12" s="401" t="s">
        <v>154</v>
      </c>
      <c r="B12" s="402">
        <f>SUM(B10:B11)</f>
        <v>0</v>
      </c>
      <c r="C12" s="402">
        <f>SUM(C10:C11)</f>
        <v>172</v>
      </c>
      <c r="D12" s="403" t="e">
        <f t="shared" si="0"/>
        <v>#DIV/0!</v>
      </c>
      <c r="E12" s="402">
        <f>SUM(E10:E11)</f>
        <v>129</v>
      </c>
      <c r="F12" s="554">
        <f t="shared" si="1"/>
        <v>0.75</v>
      </c>
      <c r="G12" s="611"/>
    </row>
    <row r="13" spans="1:7" ht="18.75" thickBot="1">
      <c r="A13" s="404" t="s">
        <v>246</v>
      </c>
      <c r="B13" s="396">
        <f>'XII-RESUMO'!C15</f>
        <v>0</v>
      </c>
      <c r="C13" s="397">
        <f>16+19+7+13+11+21</f>
        <v>87</v>
      </c>
      <c r="D13" s="398" t="e">
        <f t="shared" si="0"/>
        <v>#DIV/0!</v>
      </c>
      <c r="E13" s="397">
        <f>12+9+4+8+7+14</f>
        <v>54</v>
      </c>
      <c r="F13" s="552">
        <f t="shared" si="1"/>
        <v>0.62068965517241381</v>
      </c>
      <c r="G13" s="612"/>
    </row>
    <row r="14" spans="1:7" ht="18.75" thickBot="1">
      <c r="A14" s="404" t="s">
        <v>247</v>
      </c>
      <c r="B14" s="396">
        <f>'XII-RESUMO'!C16</f>
        <v>0</v>
      </c>
      <c r="C14" s="397">
        <f>9+14+12+7+6</f>
        <v>48</v>
      </c>
      <c r="D14" s="398" t="e">
        <f t="shared" si="0"/>
        <v>#DIV/0!</v>
      </c>
      <c r="E14" s="397">
        <f>5+11+9+6+1</f>
        <v>32</v>
      </c>
      <c r="F14" s="552">
        <f t="shared" si="1"/>
        <v>0.66666666666666663</v>
      </c>
      <c r="G14" s="613"/>
    </row>
    <row r="15" spans="1:7" ht="18.75" thickBot="1">
      <c r="A15" s="404" t="s">
        <v>248</v>
      </c>
      <c r="B15" s="396">
        <f>'XII-RESUMO'!C17</f>
        <v>0</v>
      </c>
      <c r="C15" s="397">
        <f>10+10+9+7</f>
        <v>36</v>
      </c>
      <c r="D15" s="398" t="e">
        <f t="shared" si="0"/>
        <v>#DIV/0!</v>
      </c>
      <c r="E15" s="397">
        <f>7+9+6+4</f>
        <v>26</v>
      </c>
      <c r="F15" s="552">
        <f>E15/C15</f>
        <v>0.72222222222222221</v>
      </c>
      <c r="G15" s="613"/>
    </row>
    <row r="16" spans="1:7" ht="18.75" thickBot="1">
      <c r="A16" s="401" t="s">
        <v>157</v>
      </c>
      <c r="B16" s="402">
        <f>SUM(B13:B15)</f>
        <v>0</v>
      </c>
      <c r="C16" s="402">
        <f>SUM(C13:C15)</f>
        <v>171</v>
      </c>
      <c r="D16" s="403" t="e">
        <f t="shared" si="0"/>
        <v>#DIV/0!</v>
      </c>
      <c r="E16" s="402">
        <f>SUM(E13:E15)</f>
        <v>112</v>
      </c>
      <c r="F16" s="554">
        <f>E16/C16</f>
        <v>0.65497076023391809</v>
      </c>
      <c r="G16" s="611"/>
    </row>
    <row r="17" spans="1:7" ht="38.25" thickBot="1">
      <c r="A17" s="407" t="s">
        <v>351</v>
      </c>
      <c r="B17" s="408">
        <f>SUM(B16,B12,B9)</f>
        <v>0</v>
      </c>
      <c r="C17" s="408">
        <f>SUM(C16,C12,C9)</f>
        <v>343</v>
      </c>
      <c r="D17" s="409" t="e">
        <f t="shared" si="0"/>
        <v>#DIV/0!</v>
      </c>
      <c r="E17" s="408">
        <f>SUM(E16,E12,E9)</f>
        <v>241</v>
      </c>
      <c r="F17" s="556">
        <f>E17/C17</f>
        <v>0.70262390670553931</v>
      </c>
      <c r="G17" s="557"/>
    </row>
    <row r="21" spans="1:7" ht="19.5" thickBot="1">
      <c r="A21" s="1758" t="s">
        <v>339</v>
      </c>
      <c r="B21" s="1759"/>
      <c r="C21" s="1759"/>
      <c r="D21" s="1759"/>
      <c r="E21" s="1759"/>
      <c r="F21" s="1759"/>
      <c r="G21" s="1759"/>
    </row>
    <row r="22" spans="1:7" ht="12.75" customHeight="1">
      <c r="A22" s="1748" t="s">
        <v>422</v>
      </c>
      <c r="B22" s="1749"/>
      <c r="C22" s="1749"/>
      <c r="D22" s="1749"/>
      <c r="E22" s="1749"/>
      <c r="F22" s="1749"/>
      <c r="G22" s="1749"/>
    </row>
    <row r="23" spans="1:7" ht="13.5" customHeight="1" thickBot="1">
      <c r="A23" s="1760"/>
      <c r="B23" s="1761"/>
      <c r="C23" s="1761"/>
      <c r="D23" s="1761"/>
      <c r="E23" s="1761"/>
      <c r="F23" s="1761"/>
      <c r="G23" s="1761"/>
    </row>
    <row r="24" spans="1:7" ht="18.75" customHeight="1" thickBot="1">
      <c r="A24" s="1752" t="s">
        <v>235</v>
      </c>
      <c r="B24" s="1756" t="s">
        <v>413</v>
      </c>
      <c r="C24" s="1757"/>
      <c r="D24" s="1757"/>
      <c r="E24" s="1756" t="s">
        <v>415</v>
      </c>
      <c r="F24" s="1757"/>
      <c r="G24" s="1757"/>
    </row>
    <row r="25" spans="1:7" ht="18.75" thickBot="1">
      <c r="A25" s="1753"/>
      <c r="B25" s="393" t="s">
        <v>417</v>
      </c>
      <c r="C25" s="393" t="s">
        <v>418</v>
      </c>
      <c r="D25" s="393" t="s">
        <v>421</v>
      </c>
      <c r="E25" s="393" t="s">
        <v>417</v>
      </c>
      <c r="F25" s="393" t="s">
        <v>418</v>
      </c>
      <c r="G25" s="393" t="s">
        <v>421</v>
      </c>
    </row>
    <row r="26" spans="1:7" ht="18.75" thickBot="1">
      <c r="A26" s="404" t="s">
        <v>243</v>
      </c>
      <c r="B26" s="406">
        <v>0.64150943396226412</v>
      </c>
      <c r="C26" s="406">
        <v>0.64</v>
      </c>
      <c r="D26" s="406" t="e">
        <f t="shared" ref="D26:D33" si="2">D10</f>
        <v>#DIV/0!</v>
      </c>
      <c r="E26" s="406">
        <v>0.81372549019607843</v>
      </c>
      <c r="F26" s="406">
        <v>0.84</v>
      </c>
      <c r="G26" s="406">
        <f t="shared" ref="G26:G33" si="3">F10</f>
        <v>0.72368421052631582</v>
      </c>
    </row>
    <row r="27" spans="1:7" ht="18.75" thickBot="1">
      <c r="A27" s="404" t="s">
        <v>244</v>
      </c>
      <c r="B27" s="398">
        <v>0.625</v>
      </c>
      <c r="C27" s="398">
        <v>0.64</v>
      </c>
      <c r="D27" s="398" t="e">
        <f t="shared" si="2"/>
        <v>#DIV/0!</v>
      </c>
      <c r="E27" s="398">
        <v>0.78823529411764703</v>
      </c>
      <c r="F27" s="398">
        <v>0.76</v>
      </c>
      <c r="G27" s="398">
        <f t="shared" si="3"/>
        <v>0.77083333333333337</v>
      </c>
    </row>
    <row r="28" spans="1:7" ht="18.75" thickBot="1">
      <c r="A28" s="401" t="s">
        <v>154</v>
      </c>
      <c r="B28" s="403">
        <v>0.63389830508474576</v>
      </c>
      <c r="C28" s="403">
        <v>0.64</v>
      </c>
      <c r="D28" s="403" t="e">
        <f t="shared" si="2"/>
        <v>#DIV/0!</v>
      </c>
      <c r="E28" s="403">
        <v>0.80213903743315507</v>
      </c>
      <c r="F28" s="403">
        <v>0.8</v>
      </c>
      <c r="G28" s="403">
        <f t="shared" si="3"/>
        <v>0.75</v>
      </c>
    </row>
    <row r="29" spans="1:7" ht="18.75" thickBot="1">
      <c r="A29" s="404" t="s">
        <v>246</v>
      </c>
      <c r="B29" s="398">
        <v>0.82170542635658916</v>
      </c>
      <c r="C29" s="398">
        <v>0.53</v>
      </c>
      <c r="D29" s="398" t="e">
        <f t="shared" si="2"/>
        <v>#DIV/0!</v>
      </c>
      <c r="E29" s="398">
        <v>0.47169811320754718</v>
      </c>
      <c r="F29" s="398">
        <v>0.55000000000000004</v>
      </c>
      <c r="G29" s="398">
        <f t="shared" si="3"/>
        <v>0.62068965517241381</v>
      </c>
    </row>
    <row r="30" spans="1:7" ht="18.75" thickBot="1">
      <c r="A30" s="404" t="s">
        <v>247</v>
      </c>
      <c r="B30" s="398">
        <v>0.6696428571428571</v>
      </c>
      <c r="C30" s="398">
        <v>0.48</v>
      </c>
      <c r="D30" s="398" t="e">
        <f t="shared" si="2"/>
        <v>#DIV/0!</v>
      </c>
      <c r="E30" s="398">
        <v>0.53333333333333333</v>
      </c>
      <c r="F30" s="398">
        <v>0.71</v>
      </c>
      <c r="G30" s="398">
        <f t="shared" si="3"/>
        <v>0.66666666666666663</v>
      </c>
    </row>
    <row r="31" spans="1:7" ht="18.75" thickBot="1">
      <c r="A31" s="404" t="s">
        <v>248</v>
      </c>
      <c r="B31" s="398">
        <v>0.42342342342342343</v>
      </c>
      <c r="C31" s="398">
        <v>0.4</v>
      </c>
      <c r="D31" s="398" t="e">
        <f t="shared" si="2"/>
        <v>#DIV/0!</v>
      </c>
      <c r="E31" s="398">
        <v>0.72340425531914898</v>
      </c>
      <c r="F31" s="398">
        <v>0.46</v>
      </c>
      <c r="G31" s="398">
        <f t="shared" si="3"/>
        <v>0.72222222222222221</v>
      </c>
    </row>
    <row r="32" spans="1:7" ht="18.75" thickBot="1">
      <c r="A32" s="401" t="s">
        <v>157</v>
      </c>
      <c r="B32" s="403">
        <v>0.64772727272727271</v>
      </c>
      <c r="C32" s="403">
        <v>0.48</v>
      </c>
      <c r="D32" s="403" t="e">
        <f t="shared" si="2"/>
        <v>#DIV/0!</v>
      </c>
      <c r="E32" s="403">
        <v>0.54385964912280704</v>
      </c>
      <c r="F32" s="403">
        <v>0.57999999999999996</v>
      </c>
      <c r="G32" s="403">
        <f t="shared" si="3"/>
        <v>0.65497076023391809</v>
      </c>
    </row>
    <row r="33" spans="1:7" ht="38.25" thickBot="1">
      <c r="A33" s="407" t="s">
        <v>419</v>
      </c>
      <c r="B33" s="409">
        <v>0.62146892655367236</v>
      </c>
      <c r="C33" s="409">
        <v>0.61</v>
      </c>
      <c r="D33" s="409" t="e">
        <f t="shared" si="2"/>
        <v>#DIV/0!</v>
      </c>
      <c r="E33" s="409">
        <v>0.79090909090909089</v>
      </c>
      <c r="F33" s="409">
        <v>0.82</v>
      </c>
      <c r="G33" s="409">
        <f t="shared" si="3"/>
        <v>0.70262390670553931</v>
      </c>
    </row>
    <row r="34" spans="1:7" ht="18">
      <c r="A34" s="1754" t="s">
        <v>420</v>
      </c>
      <c r="B34" s="1755"/>
      <c r="C34" s="1755"/>
      <c r="D34" s="1755"/>
      <c r="E34" s="1755"/>
      <c r="F34" s="1755"/>
      <c r="G34" s="1755"/>
    </row>
  </sheetData>
  <mergeCells count="9">
    <mergeCell ref="A1:F1"/>
    <mergeCell ref="A2:F3"/>
    <mergeCell ref="A24:A25"/>
    <mergeCell ref="A34:G34"/>
    <mergeCell ref="B24:D24"/>
    <mergeCell ref="E24:G24"/>
    <mergeCell ref="A21:G21"/>
    <mergeCell ref="A22:G23"/>
    <mergeCell ref="G3:G4"/>
  </mergeCells>
  <phoneticPr fontId="0" type="noConversion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15"/>
  <sheetViews>
    <sheetView workbookViewId="0">
      <selection activeCell="H10" sqref="H10"/>
    </sheetView>
  </sheetViews>
  <sheetFormatPr defaultRowHeight="12.75"/>
  <cols>
    <col min="1" max="1" width="13.85546875" customWidth="1"/>
    <col min="2" max="2" width="17.85546875" customWidth="1"/>
    <col min="3" max="3" width="12.85546875" customWidth="1"/>
    <col min="4" max="4" width="16.28515625" customWidth="1"/>
    <col min="5" max="5" width="16.140625" customWidth="1"/>
    <col min="6" max="6" width="21.42578125" customWidth="1"/>
    <col min="7" max="7" width="21.85546875" customWidth="1"/>
  </cols>
  <sheetData>
    <row r="1" spans="1:6" ht="21.75" thickBot="1">
      <c r="A1" s="1766" t="s">
        <v>424</v>
      </c>
      <c r="B1" s="1767"/>
      <c r="C1" s="1767"/>
      <c r="D1" s="1767"/>
      <c r="E1" s="1767"/>
      <c r="F1" s="1767"/>
    </row>
    <row r="2" spans="1:6" ht="18.75" thickBot="1">
      <c r="A2" s="1764" t="s">
        <v>358</v>
      </c>
      <c r="B2" s="1752" t="s">
        <v>423</v>
      </c>
      <c r="C2" s="820"/>
      <c r="D2" s="821"/>
      <c r="E2" s="821"/>
      <c r="F2" s="821"/>
    </row>
    <row r="3" spans="1:6" ht="53.25" customHeight="1" thickBot="1">
      <c r="A3" s="1765"/>
      <c r="B3" s="1752"/>
      <c r="C3" s="410" t="s">
        <v>555</v>
      </c>
      <c r="D3" s="410" t="s">
        <v>147</v>
      </c>
      <c r="E3" s="410" t="s">
        <v>556</v>
      </c>
      <c r="F3" s="410" t="s">
        <v>147</v>
      </c>
    </row>
    <row r="4" spans="1:6" ht="15.75" thickBot="1">
      <c r="A4" s="411" t="s">
        <v>114</v>
      </c>
      <c r="B4" s="412">
        <f>'XII-RESUMO'!C8</f>
        <v>0</v>
      </c>
      <c r="C4" s="413"/>
      <c r="D4" s="414" t="e">
        <f>C4/#REF!</f>
        <v>#REF!</v>
      </c>
      <c r="E4" s="413"/>
      <c r="F4" s="414" t="e">
        <f>E4/#REF!</f>
        <v>#REF!</v>
      </c>
    </row>
    <row r="5" spans="1:6" ht="15.75" thickBot="1">
      <c r="A5" s="411" t="s">
        <v>115</v>
      </c>
      <c r="B5" s="412">
        <f>'XII-RESUMO'!C9</f>
        <v>0</v>
      </c>
      <c r="C5" s="413"/>
      <c r="D5" s="414" t="e">
        <f>C5/#REF!</f>
        <v>#REF!</v>
      </c>
      <c r="E5" s="413"/>
      <c r="F5" s="414" t="e">
        <f>E5/#REF!</f>
        <v>#REF!</v>
      </c>
    </row>
    <row r="6" spans="1:6" ht="15.75" thickBot="1">
      <c r="A6" s="411" t="s">
        <v>117</v>
      </c>
      <c r="B6" s="412">
        <f>'XII-RESUMO'!C10</f>
        <v>0</v>
      </c>
      <c r="C6" s="413"/>
      <c r="D6" s="414" t="e">
        <f>C6/#REF!</f>
        <v>#REF!</v>
      </c>
      <c r="E6" s="413"/>
      <c r="F6" s="414" t="e">
        <f>E6/#REF!</f>
        <v>#REF!</v>
      </c>
    </row>
    <row r="7" spans="1:6" ht="21.75" thickBot="1">
      <c r="A7" s="415" t="s">
        <v>200</v>
      </c>
      <c r="B7" s="417">
        <f>SUM(B4:B6)</f>
        <v>0</v>
      </c>
      <c r="C7" s="415">
        <f>SUM(C4:C6)</f>
        <v>0</v>
      </c>
      <c r="D7" s="416" t="e">
        <f>C7/#REF!</f>
        <v>#REF!</v>
      </c>
      <c r="E7" s="415">
        <f>SUM(E4:E6)</f>
        <v>0</v>
      </c>
      <c r="F7" s="416" t="e">
        <f>E7/#REF!</f>
        <v>#REF!</v>
      </c>
    </row>
    <row r="8" spans="1:6" ht="15.75" thickBot="1">
      <c r="A8" s="411" t="s">
        <v>125</v>
      </c>
      <c r="B8" s="412">
        <f>'XII-RESUMO'!C12</f>
        <v>0</v>
      </c>
      <c r="C8" s="413">
        <v>1</v>
      </c>
      <c r="D8" s="414" t="e">
        <f>C8/#REF!</f>
        <v>#REF!</v>
      </c>
      <c r="E8" s="413"/>
      <c r="F8" s="414" t="e">
        <f>E8/#REF!</f>
        <v>#REF!</v>
      </c>
    </row>
    <row r="9" spans="1:6" ht="15.75" thickBot="1">
      <c r="A9" s="826" t="s">
        <v>127</v>
      </c>
      <c r="B9" s="412"/>
      <c r="C9" s="827"/>
      <c r="D9" s="828"/>
      <c r="E9" s="827"/>
      <c r="F9" s="828"/>
    </row>
    <row r="10" spans="1:6" ht="21.75" thickBot="1">
      <c r="A10" s="415" t="s">
        <v>154</v>
      </c>
      <c r="B10" s="417">
        <f>B8</f>
        <v>0</v>
      </c>
      <c r="C10" s="415">
        <f>C8</f>
        <v>1</v>
      </c>
      <c r="D10" s="416" t="e">
        <f>C10/#REF!</f>
        <v>#REF!</v>
      </c>
      <c r="E10" s="415">
        <f>E8</f>
        <v>0</v>
      </c>
      <c r="F10" s="416" t="e">
        <f>E10/#REF!</f>
        <v>#REF!</v>
      </c>
    </row>
    <row r="11" spans="1:6" ht="15.75" thickBot="1">
      <c r="A11" s="411" t="s">
        <v>130</v>
      </c>
      <c r="B11" s="412">
        <f>'XII-RESUMO'!C15</f>
        <v>0</v>
      </c>
      <c r="C11" s="413"/>
      <c r="D11" s="414" t="e">
        <f>C11/#REF!</f>
        <v>#REF!</v>
      </c>
      <c r="E11" s="413"/>
      <c r="F11" s="414" t="e">
        <f>E11/#REF!</f>
        <v>#REF!</v>
      </c>
    </row>
    <row r="12" spans="1:6" ht="15.75" thickBot="1">
      <c r="A12" s="411" t="s">
        <v>131</v>
      </c>
      <c r="B12" s="412">
        <f>'XII-RESUMO'!C16</f>
        <v>0</v>
      </c>
      <c r="C12" s="413"/>
      <c r="D12" s="414" t="e">
        <f>C12/#REF!</f>
        <v>#REF!</v>
      </c>
      <c r="E12" s="413"/>
      <c r="F12" s="414" t="e">
        <f>E12/#REF!</f>
        <v>#REF!</v>
      </c>
    </row>
    <row r="13" spans="1:6" ht="15.75" thickBot="1">
      <c r="A13" s="826" t="s">
        <v>132</v>
      </c>
      <c r="B13" s="412"/>
      <c r="C13" s="827"/>
      <c r="D13" s="828"/>
      <c r="E13" s="827"/>
      <c r="F13" s="828"/>
    </row>
    <row r="14" spans="1:6" ht="21.75" thickBot="1">
      <c r="A14" s="415" t="s">
        <v>157</v>
      </c>
      <c r="B14" s="415">
        <f>SUM(B11:B12)</f>
        <v>0</v>
      </c>
      <c r="C14" s="415">
        <f>SUM(C11:C12)</f>
        <v>0</v>
      </c>
      <c r="D14" s="416" t="e">
        <f>C14/#REF!</f>
        <v>#REF!</v>
      </c>
      <c r="E14" s="415">
        <f>SUM(E11:E12)</f>
        <v>0</v>
      </c>
      <c r="F14" s="416" t="e">
        <f>E14/#REF!</f>
        <v>#REF!</v>
      </c>
    </row>
    <row r="15" spans="1:6" ht="21.75" thickBot="1">
      <c r="A15" s="415" t="s">
        <v>0</v>
      </c>
      <c r="B15" s="417">
        <f>B7+B10+B14</f>
        <v>0</v>
      </c>
      <c r="C15" s="415">
        <f>C7+C10+C14</f>
        <v>1</v>
      </c>
      <c r="D15" s="416" t="e">
        <f>C15/#REF!</f>
        <v>#REF!</v>
      </c>
      <c r="E15" s="415">
        <f>E7+E10+E14</f>
        <v>0</v>
      </c>
      <c r="F15" s="416" t="e">
        <f>E15/#REF!</f>
        <v>#REF!</v>
      </c>
    </row>
  </sheetData>
  <mergeCells count="3">
    <mergeCell ref="A2:A3"/>
    <mergeCell ref="B2:B3"/>
    <mergeCell ref="A1:F1"/>
  </mergeCells>
  <phoneticPr fontId="0" type="noConversion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13"/>
  <sheetViews>
    <sheetView workbookViewId="0">
      <selection activeCell="D17" sqref="D17"/>
    </sheetView>
  </sheetViews>
  <sheetFormatPr defaultRowHeight="12.75"/>
  <cols>
    <col min="1" max="1" width="15.85546875" customWidth="1"/>
    <col min="2" max="2" width="17.140625" customWidth="1"/>
    <col min="3" max="3" width="22.42578125" customWidth="1"/>
    <col min="4" max="4" width="19.140625" customWidth="1"/>
    <col min="5" max="5" width="15.85546875" customWidth="1"/>
  </cols>
  <sheetData>
    <row r="1" spans="1:5" ht="18.75">
      <c r="A1" s="1772" t="s">
        <v>425</v>
      </c>
      <c r="B1" s="1607"/>
      <c r="C1" s="1607"/>
      <c r="D1" s="1607"/>
      <c r="E1" s="1607"/>
    </row>
    <row r="2" spans="1:5" ht="12.75" customHeight="1">
      <c r="A2" s="1773" t="s">
        <v>480</v>
      </c>
      <c r="B2" s="1774"/>
      <c r="C2" s="1774"/>
      <c r="D2" s="1774"/>
      <c r="E2" s="1774"/>
    </row>
    <row r="3" spans="1:5" ht="13.5" customHeight="1">
      <c r="A3" s="1773"/>
      <c r="B3" s="1774"/>
      <c r="C3" s="1774"/>
      <c r="D3" s="1774"/>
      <c r="E3" s="1774"/>
    </row>
    <row r="4" spans="1:5" ht="60" customHeight="1" thickBot="1">
      <c r="A4" s="1768" t="s">
        <v>235</v>
      </c>
      <c r="B4" s="1770" t="s">
        <v>426</v>
      </c>
      <c r="C4" s="1771"/>
      <c r="D4" s="1771"/>
      <c r="E4" s="566" t="s">
        <v>427</v>
      </c>
    </row>
    <row r="5" spans="1:5" ht="19.5" thickBot="1">
      <c r="A5" s="1769"/>
      <c r="B5" s="418" t="s">
        <v>336</v>
      </c>
      <c r="C5" s="418" t="s">
        <v>337</v>
      </c>
      <c r="D5" s="418" t="s">
        <v>338</v>
      </c>
      <c r="E5" s="418" t="s">
        <v>338</v>
      </c>
    </row>
    <row r="6" spans="1:5" ht="19.5" thickBot="1">
      <c r="A6" s="419" t="s">
        <v>243</v>
      </c>
      <c r="B6" s="420">
        <v>7.5399999999999995E-2</v>
      </c>
      <c r="C6" s="420">
        <f>10/148</f>
        <v>6.7567567567567571E-2</v>
      </c>
      <c r="D6" s="425" t="e">
        <f>7/'XII-RESUMO'!C12</f>
        <v>#DIV/0!</v>
      </c>
      <c r="E6" s="428">
        <v>0</v>
      </c>
    </row>
    <row r="7" spans="1:5" ht="19.5" thickBot="1">
      <c r="A7" s="421" t="s">
        <v>244</v>
      </c>
      <c r="B7" s="422">
        <v>0.1176</v>
      </c>
      <c r="C7" s="422">
        <f>10/153</f>
        <v>6.535947712418301E-2</v>
      </c>
      <c r="D7" s="425" t="e">
        <f>(6+1+1)/'XII-RESUMO'!C13</f>
        <v>#DIV/0!</v>
      </c>
      <c r="E7" s="428">
        <v>0</v>
      </c>
    </row>
    <row r="8" spans="1:5" ht="19.5" thickBot="1">
      <c r="A8" s="407" t="s">
        <v>154</v>
      </c>
      <c r="B8" s="423">
        <v>9.4899999999999998E-2</v>
      </c>
      <c r="C8" s="423">
        <f>20/(153+148)</f>
        <v>6.6445182724252497E-2</v>
      </c>
      <c r="D8" s="426" t="e">
        <f>(8+7)/('XII-RESUMO'!C14)</f>
        <v>#DIV/0!</v>
      </c>
      <c r="E8" s="424">
        <v>0</v>
      </c>
    </row>
    <row r="9" spans="1:5" ht="19.5" thickBot="1">
      <c r="A9" s="421" t="s">
        <v>246</v>
      </c>
      <c r="B9" s="422">
        <v>3.8699999999999998E-2</v>
      </c>
      <c r="C9" s="422">
        <f>8/145</f>
        <v>5.5172413793103448E-2</v>
      </c>
      <c r="D9" s="427" t="e">
        <f>5/'XII-RESUMO'!C15</f>
        <v>#DIV/0!</v>
      </c>
      <c r="E9" s="428">
        <v>0</v>
      </c>
    </row>
    <row r="10" spans="1:5" ht="19.5" thickBot="1">
      <c r="A10" s="421" t="s">
        <v>247</v>
      </c>
      <c r="B10" s="422">
        <v>9.8199999999999996E-2</v>
      </c>
      <c r="C10" s="422">
        <f>4/117</f>
        <v>3.4188034188034191E-2</v>
      </c>
      <c r="D10" s="427" t="e">
        <f>5/'XII-RESUMO'!C16</f>
        <v>#DIV/0!</v>
      </c>
      <c r="E10" s="428">
        <v>0</v>
      </c>
    </row>
    <row r="11" spans="1:5" ht="19.5" thickBot="1">
      <c r="A11" s="421" t="s">
        <v>248</v>
      </c>
      <c r="B11" s="422">
        <v>7.1999999999999995E-2</v>
      </c>
      <c r="C11" s="422">
        <f>5/102</f>
        <v>4.9019607843137254E-2</v>
      </c>
      <c r="D11" s="427" t="e">
        <f>4/'XII-RESUMO'!C17</f>
        <v>#DIV/0!</v>
      </c>
      <c r="E11" s="428">
        <v>1</v>
      </c>
    </row>
    <row r="12" spans="1:5" ht="19.5" thickBot="1">
      <c r="A12" s="407" t="s">
        <v>157</v>
      </c>
      <c r="B12" s="423">
        <v>6.8099999999999994E-2</v>
      </c>
      <c r="C12" s="423">
        <f>17/(145+117+102)</f>
        <v>4.6703296703296704E-2</v>
      </c>
      <c r="D12" s="426" t="e">
        <f>14/('XII-RESUMO'!C15+'XII-RESUMO'!C16+'XII-RESUMO'!C17)</f>
        <v>#DIV/0!</v>
      </c>
      <c r="E12" s="424">
        <v>1</v>
      </c>
    </row>
    <row r="13" spans="1:5" ht="19.5" thickBot="1">
      <c r="A13" s="407" t="s">
        <v>0</v>
      </c>
      <c r="B13" s="423">
        <v>8.0369999999999997E-2</v>
      </c>
      <c r="C13" s="423">
        <f>37/(148+153+145+117+102)</f>
        <v>5.5639097744360905E-2</v>
      </c>
      <c r="D13" s="426" t="e">
        <f>(15+14)/('XII-RESUMO'!C14+'XII-RESUMO'!C15+'XII-RESUMO'!C16+'XII-RESUMO'!C17)</f>
        <v>#DIV/0!</v>
      </c>
      <c r="E13" s="424">
        <v>1</v>
      </c>
    </row>
  </sheetData>
  <mergeCells count="4">
    <mergeCell ref="A4:A5"/>
    <mergeCell ref="B4:D4"/>
    <mergeCell ref="A1:E1"/>
    <mergeCell ref="A2:E3"/>
  </mergeCells>
  <phoneticPr fontId="0" type="noConversion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41"/>
  <sheetViews>
    <sheetView showGridLines="0" workbookViewId="0">
      <selection activeCell="I24" sqref="I24"/>
    </sheetView>
  </sheetViews>
  <sheetFormatPr defaultRowHeight="12.75"/>
  <cols>
    <col min="1" max="1" width="14.85546875" bestFit="1" customWidth="1"/>
    <col min="2" max="2" width="12.85546875" bestFit="1" customWidth="1"/>
    <col min="3" max="3" width="14.5703125" bestFit="1" customWidth="1"/>
    <col min="4" max="4" width="15" customWidth="1"/>
    <col min="5" max="5" width="15.42578125" customWidth="1"/>
    <col min="6" max="6" width="15" customWidth="1"/>
    <col min="7" max="7" width="13.28515625" customWidth="1"/>
    <col min="8" max="14" width="15.7109375" customWidth="1"/>
  </cols>
  <sheetData>
    <row r="1" spans="1:13" ht="18.75" thickBot="1">
      <c r="A1" s="1790" t="s">
        <v>439</v>
      </c>
      <c r="B1" s="1797"/>
      <c r="C1" s="1797"/>
      <c r="D1" s="1797"/>
      <c r="E1" s="1797"/>
      <c r="F1" s="1797"/>
      <c r="G1" s="1797"/>
    </row>
    <row r="2" spans="1:13" ht="16.5">
      <c r="A2" s="1798" t="s">
        <v>446</v>
      </c>
      <c r="B2" s="1799"/>
      <c r="C2" s="1799"/>
      <c r="D2" s="1799"/>
      <c r="E2" s="1799"/>
      <c r="F2" s="1799"/>
      <c r="G2" s="1799"/>
    </row>
    <row r="3" spans="1:13" ht="18.75" thickBot="1">
      <c r="A3" s="1800" t="s">
        <v>645</v>
      </c>
      <c r="B3" s="1800"/>
      <c r="C3" s="1800"/>
      <c r="D3" s="1800"/>
      <c r="E3" s="1800"/>
      <c r="F3" s="1800"/>
      <c r="G3" s="1800"/>
    </row>
    <row r="4" spans="1:13" ht="18.75" thickBot="1">
      <c r="A4" s="457" t="s">
        <v>440</v>
      </c>
      <c r="B4" s="1801" t="s">
        <v>432</v>
      </c>
      <c r="C4" s="1802"/>
      <c r="D4" s="1803"/>
      <c r="E4" s="1801" t="s">
        <v>95</v>
      </c>
      <c r="F4" s="1802"/>
      <c r="G4" s="1802"/>
    </row>
    <row r="5" spans="1:13" ht="13.5" customHeight="1" thickBot="1">
      <c r="A5" s="1790" t="s">
        <v>441</v>
      </c>
      <c r="B5" s="1781" t="s">
        <v>460</v>
      </c>
      <c r="C5" s="1779" t="s">
        <v>472</v>
      </c>
      <c r="D5" s="1791" t="s">
        <v>481</v>
      </c>
      <c r="E5" s="1781" t="s">
        <v>460</v>
      </c>
      <c r="F5" s="1779" t="s">
        <v>472</v>
      </c>
      <c r="G5" s="1791" t="s">
        <v>481</v>
      </c>
    </row>
    <row r="6" spans="1:13" ht="32.25" customHeight="1" thickBot="1">
      <c r="A6" s="1790"/>
      <c r="B6" s="1782"/>
      <c r="C6" s="1783"/>
      <c r="D6" s="1792"/>
      <c r="E6" s="1782"/>
      <c r="F6" s="1783"/>
      <c r="G6" s="1792"/>
    </row>
    <row r="7" spans="1:13" ht="17.25" thickBot="1">
      <c r="A7" s="458" t="s">
        <v>442</v>
      </c>
      <c r="B7" s="459">
        <f>'V-4º ANO'!D12</f>
        <v>0.8783783783783784</v>
      </c>
      <c r="C7" s="460">
        <f>('XXXIV-Comparativo Exames'!H7+'XXXIV-Comparativo Exames'!H8+'XXXIV-Comparativo Exames'!H9)/74</f>
        <v>0.36486486486486486</v>
      </c>
      <c r="D7" s="558"/>
      <c r="E7" s="459">
        <f>'V-4º ANO'!F12</f>
        <v>0.83783783783783783</v>
      </c>
      <c r="F7" s="460">
        <f>('XXXIV-Comparativo Exames'!P7+'XXXIV-Comparativo Exames'!P8+'XXXIV-Comparativo Exames'!P9)/74</f>
        <v>0.40540540540540543</v>
      </c>
      <c r="G7" s="493"/>
    </row>
    <row r="8" spans="1:13" ht="17.25" thickBot="1">
      <c r="A8" s="458" t="s">
        <v>443</v>
      </c>
      <c r="B8" s="459">
        <f>'V-4º ANO'!D36</f>
        <v>0.828125</v>
      </c>
      <c r="C8" s="460">
        <f>('XXXIV-Comparativo Exames'!H23+'XXXIV-Comparativo Exames'!H24+'XXXIV-Comparativo Exames'!H25)/63</f>
        <v>0.31746031746031744</v>
      </c>
      <c r="D8" s="558"/>
      <c r="E8" s="459">
        <f>'V-4º ANO'!F36</f>
        <v>0.859375</v>
      </c>
      <c r="F8" s="460">
        <f>('XXXIV-Comparativo Exames'!P23+'XXXIV-Comparativo Exames'!P24+'XXXIV-Comparativo Exames'!P25)/63</f>
        <v>0.30158730158730157</v>
      </c>
      <c r="G8" s="493"/>
    </row>
    <row r="9" spans="1:13" ht="17.25" thickBot="1">
      <c r="A9" s="458" t="s">
        <v>444</v>
      </c>
      <c r="B9" s="459">
        <f>'VII-6º ANO'!D16</f>
        <v>0.77868852459016391</v>
      </c>
      <c r="C9" s="460">
        <f>('XXXIV-Comparativo Exames'!H38+'XXXIV-Comparativo Exames'!H39+'XXXIV-Comparativo Exames'!H40)/130</f>
        <v>0.36923076923076925</v>
      </c>
      <c r="D9" s="558"/>
      <c r="E9" s="459">
        <f>'VII-6º ANO'!L16</f>
        <v>0.74615384615384617</v>
      </c>
      <c r="F9" s="460">
        <f>('XXXIV-Comparativo Exames'!L38+'XXXIV-Comparativo Exames'!L39+'XXXIV-Comparativo Exames'!L40)/130</f>
        <v>0.26153846153846155</v>
      </c>
      <c r="G9" s="493"/>
    </row>
    <row r="10" spans="1:13" ht="17.25" thickBot="1">
      <c r="A10" s="458" t="s">
        <v>445</v>
      </c>
      <c r="B10" s="459">
        <f>'X-9º ANO'!D13</f>
        <v>0.85185185185185186</v>
      </c>
      <c r="C10" s="460">
        <f>('XXXIV-Comparativo Exames'!H53+'XXXIV-Comparativo Exames'!H54+'XXXIV-Comparativo Exames'!H55)/87</f>
        <v>0.2988505747126437</v>
      </c>
      <c r="D10" s="461"/>
      <c r="E10" s="459">
        <f>'X-9º ANO'!R13</f>
        <v>0.55813953488372092</v>
      </c>
      <c r="F10" s="460">
        <f>('XXXIV-Comparativo Exames'!P53+'XXXIV-Comparativo Exames'!P54+'XXXIV-Comparativo Exames'!P55)/87</f>
        <v>0.22988505747126436</v>
      </c>
      <c r="G10" s="480"/>
    </row>
    <row r="11" spans="1:13" ht="15">
      <c r="A11" s="1788" t="s">
        <v>646</v>
      </c>
      <c r="B11" s="1789"/>
      <c r="C11" s="1789"/>
      <c r="D11" s="1789"/>
      <c r="E11" s="1789"/>
      <c r="F11" s="1789"/>
      <c r="G11" s="1789"/>
    </row>
    <row r="12" spans="1:13" ht="15">
      <c r="A12" s="1784" t="s">
        <v>473</v>
      </c>
      <c r="B12" s="1784"/>
      <c r="C12" s="1784"/>
      <c r="D12" s="1784"/>
    </row>
    <row r="14" spans="1:13" ht="13.5" thickBot="1"/>
    <row r="15" spans="1:13" ht="18.75" thickBot="1">
      <c r="A15" s="148"/>
      <c r="B15" s="1794" t="s">
        <v>447</v>
      </c>
      <c r="C15" s="1795"/>
      <c r="D15" s="1795"/>
      <c r="E15" s="1795"/>
      <c r="F15" s="1795"/>
      <c r="G15" s="1795"/>
      <c r="H15" s="1795"/>
      <c r="I15" s="1795"/>
      <c r="J15" s="1795"/>
      <c r="K15" s="1795"/>
      <c r="L15" s="1795"/>
      <c r="M15" s="1796"/>
    </row>
    <row r="16" spans="1:13" ht="18.75" customHeight="1" thickBot="1">
      <c r="A16" s="1785" t="s">
        <v>441</v>
      </c>
      <c r="B16" s="1775" t="s">
        <v>336</v>
      </c>
      <c r="C16" s="1776"/>
      <c r="D16" s="1776"/>
      <c r="E16" s="1775" t="s">
        <v>337</v>
      </c>
      <c r="F16" s="1776"/>
      <c r="G16" s="1793"/>
      <c r="H16" s="1775" t="s">
        <v>338</v>
      </c>
      <c r="I16" s="1776"/>
      <c r="J16" s="1776"/>
      <c r="K16" s="1775" t="s">
        <v>645</v>
      </c>
      <c r="L16" s="1776"/>
      <c r="M16" s="1776"/>
    </row>
    <row r="17" spans="1:13" ht="30.75" customHeight="1" thickBot="1">
      <c r="A17" s="1785"/>
      <c r="B17" s="1786" t="s">
        <v>460</v>
      </c>
      <c r="C17" s="1779" t="s">
        <v>472</v>
      </c>
      <c r="D17" s="1779" t="s">
        <v>453</v>
      </c>
      <c r="E17" s="1781" t="s">
        <v>460</v>
      </c>
      <c r="F17" s="1779" t="s">
        <v>472</v>
      </c>
      <c r="G17" s="1779" t="s">
        <v>453</v>
      </c>
      <c r="H17" s="1781" t="s">
        <v>460</v>
      </c>
      <c r="I17" s="1779" t="s">
        <v>472</v>
      </c>
      <c r="J17" s="1779" t="s">
        <v>453</v>
      </c>
      <c r="K17" s="1781" t="s">
        <v>460</v>
      </c>
      <c r="L17" s="1779" t="s">
        <v>472</v>
      </c>
      <c r="M17" s="1779" t="s">
        <v>453</v>
      </c>
    </row>
    <row r="18" spans="1:13" ht="13.5" customHeight="1" thickBot="1">
      <c r="A18" s="1785"/>
      <c r="B18" s="1787"/>
      <c r="C18" s="1783"/>
      <c r="D18" s="1783"/>
      <c r="E18" s="1782"/>
      <c r="F18" s="1783"/>
      <c r="G18" s="1783"/>
      <c r="H18" s="1782"/>
      <c r="I18" s="1783"/>
      <c r="J18" s="1783"/>
      <c r="K18" s="1782"/>
      <c r="L18" s="1783"/>
      <c r="M18" s="1783"/>
    </row>
    <row r="19" spans="1:13" ht="17.25" thickBot="1">
      <c r="A19" s="321" t="s">
        <v>442</v>
      </c>
      <c r="B19" s="462">
        <v>0.97</v>
      </c>
      <c r="C19" s="460">
        <f>63/66</f>
        <v>0.95454545454545459</v>
      </c>
      <c r="D19" s="620"/>
      <c r="E19" s="459">
        <v>0.94</v>
      </c>
      <c r="F19" s="460">
        <f>37/47</f>
        <v>0.78723404255319152</v>
      </c>
      <c r="G19" s="620"/>
      <c r="H19" s="459">
        <v>0.93</v>
      </c>
      <c r="I19" s="479">
        <v>0.88</v>
      </c>
      <c r="J19" s="620"/>
      <c r="K19" s="459">
        <v>0.8783783783783784</v>
      </c>
      <c r="L19" s="479">
        <v>0.36486486486486486</v>
      </c>
      <c r="M19" s="620"/>
    </row>
    <row r="20" spans="1:13" ht="17.25" thickBot="1">
      <c r="A20" s="321" t="s">
        <v>443</v>
      </c>
      <c r="B20" s="462">
        <v>0.67</v>
      </c>
      <c r="C20" s="460">
        <f>38/54</f>
        <v>0.70370370370370372</v>
      </c>
      <c r="D20" s="621"/>
      <c r="E20" s="459">
        <v>0.9</v>
      </c>
      <c r="F20" s="460">
        <f>38/52</f>
        <v>0.73076923076923073</v>
      </c>
      <c r="G20" s="621"/>
      <c r="H20" s="459">
        <v>0.78</v>
      </c>
      <c r="I20" s="479">
        <v>0.44</v>
      </c>
      <c r="J20" s="621"/>
      <c r="K20" s="459">
        <v>0.828125</v>
      </c>
      <c r="L20" s="479">
        <v>0.31746031746031744</v>
      </c>
      <c r="M20" s="621"/>
    </row>
    <row r="21" spans="1:13" ht="17.25" thickBot="1">
      <c r="A21" s="458" t="s">
        <v>117</v>
      </c>
      <c r="B21" s="623">
        <f>(38+67)/(69+57)</f>
        <v>0.83333333333333337</v>
      </c>
      <c r="C21" s="623">
        <f>(38+63)/(66+54)</f>
        <v>0.84166666666666667</v>
      </c>
      <c r="D21" s="559">
        <f>(12955+37649+54583)/114862</f>
        <v>0.91576848740227401</v>
      </c>
      <c r="E21" s="623">
        <f>(45+54)/(48+60)</f>
        <v>0.91666666666666663</v>
      </c>
      <c r="F21" s="623">
        <f>(37+38)/(52+47)</f>
        <v>0.75757575757575757</v>
      </c>
      <c r="G21" s="559">
        <f>(8806+48849+35467)/107416</f>
        <v>0.86692857674834289</v>
      </c>
      <c r="H21" s="623">
        <v>0.86</v>
      </c>
      <c r="I21" s="623">
        <v>0.67</v>
      </c>
      <c r="J21" s="559">
        <v>0.8</v>
      </c>
      <c r="K21" s="623">
        <f>('V-4º ANO'!C12+'V-4º ANO'!C36)/('V-4º ANO'!B12+'V-4º ANO'!B36)</f>
        <v>0.85507246376811596</v>
      </c>
      <c r="L21" s="623">
        <f>('XXXIV-Comparativo Exames'!H7+'XXXIV-Comparativo Exames'!H8+'XXXIV-Comparativo Exames'!H9+'XXXIV-Comparativo Exames'!H23+'XXXIV-Comparativo Exames'!H24+'XXXIV-Comparativo Exames'!H25)/(74+63)</f>
        <v>0.34306569343065696</v>
      </c>
      <c r="M21" s="559"/>
    </row>
    <row r="22" spans="1:13" ht="17.25" thickBot="1">
      <c r="A22" s="321" t="s">
        <v>444</v>
      </c>
      <c r="B22" s="462">
        <v>0.76</v>
      </c>
      <c r="C22" s="460">
        <v>0.71</v>
      </c>
      <c r="D22" s="622">
        <f>(4587+30421+67532)/(115998)</f>
        <v>0.88398075828893596</v>
      </c>
      <c r="E22" s="459">
        <v>0.74</v>
      </c>
      <c r="F22" s="460">
        <v>0.63</v>
      </c>
      <c r="G22" s="622">
        <f>(6513+43817+46755)/117032</f>
        <v>0.8295594367352519</v>
      </c>
      <c r="H22" s="459">
        <v>0.75</v>
      </c>
      <c r="I22" s="479">
        <f>C9</f>
        <v>0.36923076923076925</v>
      </c>
      <c r="J22" s="625">
        <v>0.76</v>
      </c>
      <c r="K22" s="459">
        <v>0.77868852459016391</v>
      </c>
      <c r="L22" s="479">
        <v>0.36923076923076925</v>
      </c>
      <c r="M22" s="625"/>
    </row>
    <row r="23" spans="1:13" ht="17.25" thickBot="1">
      <c r="A23" s="321" t="s">
        <v>445</v>
      </c>
      <c r="B23" s="463">
        <v>0.91</v>
      </c>
      <c r="C23" s="464">
        <v>0.78</v>
      </c>
      <c r="D23" s="624">
        <v>0.72299999999999998</v>
      </c>
      <c r="E23" s="465">
        <v>0.69</v>
      </c>
      <c r="F23" s="464">
        <v>0.56000000000000005</v>
      </c>
      <c r="G23" s="622">
        <v>0.57899999999999996</v>
      </c>
      <c r="H23" s="465">
        <v>0.83</v>
      </c>
      <c r="I23" s="479">
        <f>C10</f>
        <v>0.2988505747126437</v>
      </c>
      <c r="J23" s="625">
        <v>0.64</v>
      </c>
      <c r="K23" s="465">
        <v>0.85185185185185186</v>
      </c>
      <c r="L23" s="479">
        <v>0.2988505747126437</v>
      </c>
      <c r="M23" s="625"/>
    </row>
    <row r="24" spans="1:13" ht="15">
      <c r="A24" s="1788" t="s">
        <v>461</v>
      </c>
      <c r="B24" s="1789"/>
      <c r="C24" s="1789"/>
      <c r="D24" s="1789"/>
      <c r="E24" s="1789"/>
      <c r="F24" s="1789"/>
      <c r="G24" s="1789"/>
    </row>
    <row r="25" spans="1:13" ht="18">
      <c r="A25" s="1784" t="s">
        <v>473</v>
      </c>
      <c r="B25" s="1784"/>
      <c r="C25" s="1784"/>
      <c r="D25" s="1784"/>
      <c r="E25" s="466"/>
      <c r="F25" s="466"/>
      <c r="G25" s="466"/>
    </row>
    <row r="26" spans="1:13" ht="15">
      <c r="A26" s="148"/>
      <c r="B26" s="148"/>
      <c r="C26" s="148"/>
      <c r="D26" s="148"/>
      <c r="E26" s="148"/>
      <c r="F26" s="148"/>
      <c r="G26" s="148"/>
    </row>
    <row r="27" spans="1:13" ht="15">
      <c r="A27" s="148"/>
      <c r="B27" s="148"/>
      <c r="C27" s="148"/>
      <c r="D27" s="148"/>
      <c r="E27" s="148"/>
      <c r="F27" s="148"/>
      <c r="G27" s="148"/>
    </row>
    <row r="28" spans="1:13" ht="15">
      <c r="A28" s="148"/>
      <c r="B28" s="148"/>
      <c r="C28" s="148"/>
      <c r="D28" s="148"/>
      <c r="E28" s="148"/>
      <c r="F28" s="148"/>
      <c r="G28" s="148"/>
    </row>
    <row r="29" spans="1:13" ht="15">
      <c r="A29" s="148"/>
      <c r="B29" s="148"/>
      <c r="C29" s="148"/>
      <c r="D29" s="148"/>
      <c r="E29" s="148"/>
      <c r="F29" s="148"/>
      <c r="G29" s="148"/>
    </row>
    <row r="30" spans="1:13" ht="18.75" thickBot="1">
      <c r="A30" s="452"/>
      <c r="B30" s="452"/>
      <c r="C30" s="466"/>
      <c r="D30" s="467"/>
      <c r="E30" s="466"/>
      <c r="F30" s="466"/>
      <c r="G30" s="466"/>
    </row>
    <row r="31" spans="1:13" ht="18.75" thickBot="1">
      <c r="A31" s="148"/>
      <c r="B31" s="1794" t="s">
        <v>448</v>
      </c>
      <c r="C31" s="1795"/>
      <c r="D31" s="1795"/>
      <c r="E31" s="1795"/>
      <c r="F31" s="1795"/>
      <c r="G31" s="1795"/>
      <c r="H31" s="1795"/>
      <c r="I31" s="1795"/>
      <c r="J31" s="1796"/>
    </row>
    <row r="32" spans="1:13" ht="18.75" customHeight="1" thickBot="1">
      <c r="A32" s="1785" t="s">
        <v>441</v>
      </c>
      <c r="B32" s="1775" t="s">
        <v>336</v>
      </c>
      <c r="C32" s="1776"/>
      <c r="D32" s="1793"/>
      <c r="E32" s="1775" t="s">
        <v>337</v>
      </c>
      <c r="F32" s="1776"/>
      <c r="G32" s="1793"/>
      <c r="H32" s="1775" t="s">
        <v>338</v>
      </c>
      <c r="I32" s="1776"/>
      <c r="J32" s="1776"/>
      <c r="K32" s="1775" t="s">
        <v>645</v>
      </c>
      <c r="L32" s="1776"/>
      <c r="M32" s="1776"/>
    </row>
    <row r="33" spans="1:13" ht="30.75" customHeight="1" thickBot="1">
      <c r="A33" s="1785"/>
      <c r="B33" s="1777" t="s">
        <v>460</v>
      </c>
      <c r="C33" s="1778" t="s">
        <v>472</v>
      </c>
      <c r="D33" s="1779" t="s">
        <v>453</v>
      </c>
      <c r="E33" s="1777" t="s">
        <v>460</v>
      </c>
      <c r="F33" s="1778" t="s">
        <v>472</v>
      </c>
      <c r="G33" s="1779" t="s">
        <v>453</v>
      </c>
      <c r="H33" s="1777" t="s">
        <v>460</v>
      </c>
      <c r="I33" s="1778" t="s">
        <v>472</v>
      </c>
      <c r="J33" s="1779" t="s">
        <v>453</v>
      </c>
      <c r="K33" s="1777" t="s">
        <v>460</v>
      </c>
      <c r="L33" s="1778" t="s">
        <v>472</v>
      </c>
      <c r="M33" s="1779" t="s">
        <v>453</v>
      </c>
    </row>
    <row r="34" spans="1:13" ht="13.5" thickBot="1">
      <c r="A34" s="1785"/>
      <c r="B34" s="1777"/>
      <c r="C34" s="1778"/>
      <c r="D34" s="1783"/>
      <c r="E34" s="1777"/>
      <c r="F34" s="1778"/>
      <c r="G34" s="1783"/>
      <c r="H34" s="1777"/>
      <c r="I34" s="1778"/>
      <c r="J34" s="1780"/>
      <c r="K34" s="1777"/>
      <c r="L34" s="1778"/>
      <c r="M34" s="1780"/>
    </row>
    <row r="35" spans="1:13" ht="17.25" thickBot="1">
      <c r="A35" s="321" t="s">
        <v>442</v>
      </c>
      <c r="B35" s="481">
        <v>0.72</v>
      </c>
      <c r="C35" s="479">
        <f>55/66</f>
        <v>0.83333333333333337</v>
      </c>
      <c r="D35" s="620"/>
      <c r="E35" s="481">
        <v>0.79</v>
      </c>
      <c r="F35" s="479">
        <f>34/46</f>
        <v>0.73913043478260865</v>
      </c>
      <c r="G35" s="620"/>
      <c r="H35" s="481">
        <v>0.77</v>
      </c>
      <c r="I35" s="460">
        <v>0.52</v>
      </c>
      <c r="J35" s="620"/>
      <c r="K35" s="481">
        <v>0.83783783783783783</v>
      </c>
      <c r="L35" s="460">
        <v>0.40540540540540543</v>
      </c>
      <c r="M35" s="620"/>
    </row>
    <row r="36" spans="1:13" ht="17.25" thickBot="1">
      <c r="A36" s="321" t="s">
        <v>443</v>
      </c>
      <c r="B36" s="481">
        <v>0.67</v>
      </c>
      <c r="C36" s="479">
        <f>18/51</f>
        <v>0.35294117647058826</v>
      </c>
      <c r="D36" s="621"/>
      <c r="E36" s="481">
        <v>0.82</v>
      </c>
      <c r="F36" s="479">
        <f>31/52</f>
        <v>0.59615384615384615</v>
      </c>
      <c r="G36" s="621"/>
      <c r="H36" s="481">
        <v>0.62</v>
      </c>
      <c r="I36" s="460">
        <v>0.16</v>
      </c>
      <c r="J36" s="621"/>
      <c r="K36" s="481">
        <v>0.859375</v>
      </c>
      <c r="L36" s="460">
        <v>0.30158730158730157</v>
      </c>
      <c r="M36" s="621"/>
    </row>
    <row r="37" spans="1:13" ht="17.25" thickBot="1">
      <c r="A37" s="458" t="s">
        <v>117</v>
      </c>
      <c r="B37" s="623">
        <f>(50+38)/(69+57)</f>
        <v>0.69841269841269837</v>
      </c>
      <c r="C37" s="623">
        <f>(18+55)/(69+57)</f>
        <v>0.57936507936507942</v>
      </c>
      <c r="D37" s="559">
        <f>(20592+33829+47427)/114611</f>
        <v>0.88864070638943904</v>
      </c>
      <c r="E37" s="623">
        <f>(38+49)/(48+60)</f>
        <v>0.80555555555555558</v>
      </c>
      <c r="F37" s="623">
        <f>(34+31)/(46+52)</f>
        <v>0.66326530612244894</v>
      </c>
      <c r="G37" s="559">
        <f>(16878+39115+29337)/107271</f>
        <v>0.79546196082818288</v>
      </c>
      <c r="H37" s="623">
        <v>0.69</v>
      </c>
      <c r="I37" s="623">
        <v>0.34</v>
      </c>
      <c r="J37" s="619">
        <v>0.56999999999999995</v>
      </c>
      <c r="K37" s="623">
        <f>('V-4º ANO'!E12+'V-4º ANO'!E36)/('V-4º ANO'!B12+'V-4º ANO'!B36)</f>
        <v>0.84782608695652173</v>
      </c>
      <c r="L37" s="623">
        <f>('XXXIV-Comparativo Exames'!P7+'XXXIV-Comparativo Exames'!P8+'XXXIV-Comparativo Exames'!P9+'XXXIV-Comparativo Exames'!P23+'XXXIV-Comparativo Exames'!P24+'XXXIV-Comparativo Exames'!P25)/(74+63)</f>
        <v>0.35766423357664234</v>
      </c>
      <c r="M37" s="619"/>
    </row>
    <row r="38" spans="1:13" ht="17.25" thickBot="1">
      <c r="A38" s="321" t="s">
        <v>444</v>
      </c>
      <c r="B38" s="481">
        <v>0.67</v>
      </c>
      <c r="C38" s="479">
        <v>0.55000000000000004</v>
      </c>
      <c r="D38" s="622">
        <f>(9804+24056+55114)/115501</f>
        <v>0.77033099280525708</v>
      </c>
      <c r="E38" s="481">
        <v>0.67</v>
      </c>
      <c r="F38" s="479">
        <v>0.42</v>
      </c>
      <c r="G38" s="622">
        <f>(8195+29981+36133)/116779</f>
        <v>0.63632159891761364</v>
      </c>
      <c r="H38" s="481">
        <v>0.61</v>
      </c>
      <c r="I38" s="479">
        <f>F9</f>
        <v>0.26153846153846155</v>
      </c>
      <c r="J38" s="625">
        <v>0.56000000000000005</v>
      </c>
      <c r="K38" s="481">
        <v>0.74615384615384617</v>
      </c>
      <c r="L38" s="460">
        <v>0.26153846153846155</v>
      </c>
      <c r="M38" s="625"/>
    </row>
    <row r="39" spans="1:13" ht="17.25" thickBot="1">
      <c r="A39" s="468" t="s">
        <v>445</v>
      </c>
      <c r="B39" s="481">
        <v>0.71</v>
      </c>
      <c r="C39" s="479">
        <v>0.35</v>
      </c>
      <c r="D39" s="624">
        <v>0.53300000000000003</v>
      </c>
      <c r="E39" s="481">
        <v>0.42</v>
      </c>
      <c r="F39" s="479">
        <v>0.27</v>
      </c>
      <c r="G39" s="624">
        <v>0.432</v>
      </c>
      <c r="H39" s="481">
        <v>0.63</v>
      </c>
      <c r="I39" s="479">
        <f>F10</f>
        <v>0.22988505747126436</v>
      </c>
      <c r="J39" s="625">
        <v>0.55000000000000004</v>
      </c>
      <c r="K39" s="481">
        <v>0.55813953488372092</v>
      </c>
      <c r="L39" s="460">
        <v>0.22988505747126436</v>
      </c>
      <c r="M39" s="625"/>
    </row>
    <row r="40" spans="1:13" ht="15">
      <c r="A40" s="1788" t="s">
        <v>461</v>
      </c>
      <c r="B40" s="1789"/>
      <c r="C40" s="1789"/>
      <c r="D40" s="1789"/>
      <c r="E40" s="1789"/>
      <c r="F40" s="1789"/>
      <c r="G40" s="1789"/>
    </row>
    <row r="41" spans="1:13" ht="15">
      <c r="A41" s="1784" t="s">
        <v>473</v>
      </c>
      <c r="B41" s="1784"/>
      <c r="C41" s="1784"/>
      <c r="D41" s="1784"/>
    </row>
  </sheetData>
  <mergeCells count="54">
    <mergeCell ref="A24:G24"/>
    <mergeCell ref="J17:J18"/>
    <mergeCell ref="J33:J34"/>
    <mergeCell ref="B32:D32"/>
    <mergeCell ref="E32:G32"/>
    <mergeCell ref="H32:J32"/>
    <mergeCell ref="I33:I34"/>
    <mergeCell ref="H33:H34"/>
    <mergeCell ref="H17:H18"/>
    <mergeCell ref="I17:I18"/>
    <mergeCell ref="F17:F18"/>
    <mergeCell ref="G17:G18"/>
    <mergeCell ref="A1:G1"/>
    <mergeCell ref="A2:G2"/>
    <mergeCell ref="A3:G3"/>
    <mergeCell ref="B4:D4"/>
    <mergeCell ref="E4:G4"/>
    <mergeCell ref="A11:G11"/>
    <mergeCell ref="A5:A6"/>
    <mergeCell ref="B16:D16"/>
    <mergeCell ref="F5:F6"/>
    <mergeCell ref="D5:D6"/>
    <mergeCell ref="B5:B6"/>
    <mergeCell ref="C5:C6"/>
    <mergeCell ref="E5:E6"/>
    <mergeCell ref="A12:D12"/>
    <mergeCell ref="G5:G6"/>
    <mergeCell ref="E16:G16"/>
    <mergeCell ref="B15:M15"/>
    <mergeCell ref="H16:J16"/>
    <mergeCell ref="A41:D41"/>
    <mergeCell ref="A16:A18"/>
    <mergeCell ref="B17:B18"/>
    <mergeCell ref="C17:C18"/>
    <mergeCell ref="A40:G40"/>
    <mergeCell ref="A32:A34"/>
    <mergeCell ref="B33:B34"/>
    <mergeCell ref="C33:C34"/>
    <mergeCell ref="E33:E34"/>
    <mergeCell ref="F33:F34"/>
    <mergeCell ref="D33:D34"/>
    <mergeCell ref="G33:G34"/>
    <mergeCell ref="D17:D18"/>
    <mergeCell ref="E17:E18"/>
    <mergeCell ref="B31:J31"/>
    <mergeCell ref="A25:D25"/>
    <mergeCell ref="K32:M32"/>
    <mergeCell ref="K33:K34"/>
    <mergeCell ref="L33:L34"/>
    <mergeCell ref="M33:M34"/>
    <mergeCell ref="K16:M16"/>
    <mergeCell ref="K17:K18"/>
    <mergeCell ref="L17:L18"/>
    <mergeCell ref="M17:M18"/>
  </mergeCells>
  <phoneticPr fontId="0" type="noConversion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60"/>
  <sheetViews>
    <sheetView workbookViewId="0">
      <selection activeCell="N57" sqref="N57"/>
    </sheetView>
  </sheetViews>
  <sheetFormatPr defaultRowHeight="12.75"/>
  <sheetData>
    <row r="1" spans="1:19" ht="18.75" thickBot="1">
      <c r="A1" s="1818" t="s">
        <v>639</v>
      </c>
      <c r="B1" s="1818"/>
      <c r="C1" s="1818"/>
      <c r="D1" s="1818"/>
      <c r="E1" s="1818"/>
      <c r="F1" s="1818"/>
      <c r="G1" s="1818"/>
      <c r="H1" s="1818"/>
      <c r="I1" s="1818"/>
      <c r="J1" s="1818"/>
      <c r="K1" s="1818"/>
      <c r="L1" s="1818"/>
      <c r="M1" s="1818"/>
      <c r="N1" s="1818"/>
      <c r="O1" s="1818"/>
      <c r="P1" s="1818"/>
      <c r="Q1" s="1818"/>
    </row>
    <row r="2" spans="1:19" ht="19.5" thickBot="1">
      <c r="A2" s="429" t="s">
        <v>428</v>
      </c>
      <c r="B2" s="1819" t="s">
        <v>429</v>
      </c>
      <c r="C2" s="1820"/>
      <c r="D2" s="1820"/>
      <c r="E2" s="1820"/>
      <c r="F2" s="1820"/>
      <c r="G2" s="1820"/>
      <c r="H2" s="1820"/>
      <c r="I2" s="1820"/>
      <c r="J2" s="1820"/>
      <c r="K2" s="1820"/>
      <c r="L2" s="1820"/>
      <c r="M2" s="1820"/>
      <c r="N2" s="1820"/>
      <c r="O2" s="1820"/>
      <c r="P2" s="1820"/>
      <c r="Q2" s="1820"/>
    </row>
    <row r="3" spans="1:19" ht="18.75" thickBot="1">
      <c r="A3" s="148"/>
      <c r="B3" s="1810" t="s">
        <v>430</v>
      </c>
      <c r="C3" s="1810"/>
      <c r="D3" s="1810"/>
      <c r="E3" s="1810"/>
      <c r="F3" s="1810"/>
      <c r="G3" s="1810"/>
      <c r="H3" s="1810"/>
      <c r="I3" s="1810"/>
      <c r="J3" s="1810"/>
      <c r="K3" s="1810"/>
      <c r="L3" s="1810"/>
      <c r="M3" s="1810"/>
      <c r="N3" s="1810"/>
      <c r="O3" s="1810"/>
      <c r="P3" s="1810"/>
      <c r="Q3" s="1810"/>
    </row>
    <row r="4" spans="1:19" ht="17.25" thickBot="1">
      <c r="A4" s="1733" t="s">
        <v>431</v>
      </c>
      <c r="B4" s="1805" t="s">
        <v>432</v>
      </c>
      <c r="C4" s="1806"/>
      <c r="D4" s="1806"/>
      <c r="E4" s="1806"/>
      <c r="F4" s="1806"/>
      <c r="G4" s="1806"/>
      <c r="H4" s="1806"/>
      <c r="I4" s="1807"/>
      <c r="J4" s="1808" t="s">
        <v>95</v>
      </c>
      <c r="K4" s="1809"/>
      <c r="L4" s="1809"/>
      <c r="M4" s="1809"/>
      <c r="N4" s="1809"/>
      <c r="O4" s="1809"/>
      <c r="P4" s="1809"/>
      <c r="Q4" s="1809"/>
    </row>
    <row r="5" spans="1:19" ht="18.75" thickBot="1">
      <c r="A5" s="1733"/>
      <c r="B5" s="1821" t="s">
        <v>417</v>
      </c>
      <c r="C5" s="1821"/>
      <c r="D5" s="1821" t="s">
        <v>418</v>
      </c>
      <c r="E5" s="1821"/>
      <c r="F5" s="1821" t="s">
        <v>421</v>
      </c>
      <c r="G5" s="1821"/>
      <c r="H5" s="1804" t="s">
        <v>638</v>
      </c>
      <c r="I5" s="1804"/>
      <c r="J5" s="1640" t="s">
        <v>417</v>
      </c>
      <c r="K5" s="1640"/>
      <c r="L5" s="1640" t="s">
        <v>418</v>
      </c>
      <c r="M5" s="1640"/>
      <c r="N5" s="1640" t="s">
        <v>421</v>
      </c>
      <c r="O5" s="1640"/>
      <c r="P5" s="1804" t="s">
        <v>638</v>
      </c>
      <c r="Q5" s="1804"/>
    </row>
    <row r="6" spans="1:19" ht="15.75" thickBot="1">
      <c r="A6" s="1822"/>
      <c r="B6" s="330" t="s">
        <v>433</v>
      </c>
      <c r="C6" s="321" t="s">
        <v>147</v>
      </c>
      <c r="D6" s="330" t="s">
        <v>433</v>
      </c>
      <c r="E6" s="321" t="s">
        <v>147</v>
      </c>
      <c r="F6" s="330" t="s">
        <v>433</v>
      </c>
      <c r="G6" s="321" t="s">
        <v>147</v>
      </c>
      <c r="H6" s="330" t="s">
        <v>433</v>
      </c>
      <c r="I6" s="321" t="s">
        <v>147</v>
      </c>
      <c r="J6" s="330" t="s">
        <v>433</v>
      </c>
      <c r="K6" s="321" t="s">
        <v>147</v>
      </c>
      <c r="L6" s="330" t="s">
        <v>433</v>
      </c>
      <c r="M6" s="430" t="s">
        <v>147</v>
      </c>
      <c r="N6" s="330" t="s">
        <v>433</v>
      </c>
      <c r="O6" s="430" t="s">
        <v>147</v>
      </c>
      <c r="P6" s="330" t="s">
        <v>433</v>
      </c>
      <c r="Q6" s="430" t="s">
        <v>147</v>
      </c>
    </row>
    <row r="7" spans="1:19" ht="18.75" thickBot="1">
      <c r="A7" s="431">
        <v>5</v>
      </c>
      <c r="B7" s="330">
        <v>6</v>
      </c>
      <c r="C7" s="432">
        <v>9.0909090909090912E-2</v>
      </c>
      <c r="D7" s="330">
        <v>2</v>
      </c>
      <c r="E7" s="432">
        <v>4.0816326530612242E-2</v>
      </c>
      <c r="F7" s="330">
        <v>4</v>
      </c>
      <c r="G7" s="432">
        <f t="shared" ref="G7:G12" si="0">F7/69</f>
        <v>5.7971014492753624E-2</v>
      </c>
      <c r="H7" s="433">
        <v>0</v>
      </c>
      <c r="I7" s="434">
        <f t="shared" ref="I7:I12" si="1">H7/74</f>
        <v>0</v>
      </c>
      <c r="J7" s="330">
        <v>6</v>
      </c>
      <c r="K7" s="432">
        <v>9.0909090909090912E-2</v>
      </c>
      <c r="L7" s="330">
        <v>1</v>
      </c>
      <c r="M7" s="432">
        <v>2.0408163265306121E-2</v>
      </c>
      <c r="N7" s="330">
        <v>2</v>
      </c>
      <c r="O7" s="432">
        <f t="shared" ref="O7:O12" si="2">N7/69</f>
        <v>2.8985507246376812E-2</v>
      </c>
      <c r="P7" s="433">
        <v>0</v>
      </c>
      <c r="Q7" s="434">
        <f>P7/74</f>
        <v>0</v>
      </c>
    </row>
    <row r="8" spans="1:19" ht="18.75" thickBot="1">
      <c r="A8" s="431">
        <v>4</v>
      </c>
      <c r="B8" s="330">
        <v>27</v>
      </c>
      <c r="C8" s="432">
        <v>0.40909090909090912</v>
      </c>
      <c r="D8" s="330">
        <v>16</v>
      </c>
      <c r="E8" s="432">
        <v>0.32653061224489793</v>
      </c>
      <c r="F8" s="330">
        <v>21</v>
      </c>
      <c r="G8" s="432">
        <f t="shared" si="0"/>
        <v>0.30434782608695654</v>
      </c>
      <c r="H8" s="433">
        <f>6</f>
        <v>6</v>
      </c>
      <c r="I8" s="434">
        <f t="shared" si="1"/>
        <v>8.1081081081081086E-2</v>
      </c>
      <c r="J8" s="330">
        <v>19</v>
      </c>
      <c r="K8" s="432">
        <v>0.2878787878787879</v>
      </c>
      <c r="L8" s="330">
        <v>17</v>
      </c>
      <c r="M8" s="432">
        <v>0.34693877551020408</v>
      </c>
      <c r="N8" s="330">
        <v>14</v>
      </c>
      <c r="O8" s="432">
        <f t="shared" si="2"/>
        <v>0.20289855072463769</v>
      </c>
      <c r="P8" s="433">
        <f>10</f>
        <v>10</v>
      </c>
      <c r="Q8" s="434">
        <f t="shared" ref="Q8:Q9" si="3">P8/74</f>
        <v>0.13513513513513514</v>
      </c>
    </row>
    <row r="9" spans="1:19" ht="18.75" thickBot="1">
      <c r="A9" s="431">
        <v>3</v>
      </c>
      <c r="B9" s="435">
        <v>30</v>
      </c>
      <c r="C9" s="436">
        <v>0.45454545454545453</v>
      </c>
      <c r="D9" s="435">
        <v>19</v>
      </c>
      <c r="E9" s="436">
        <v>0.38775510204081631</v>
      </c>
      <c r="F9" s="435">
        <v>34</v>
      </c>
      <c r="G9" s="436">
        <f t="shared" si="0"/>
        <v>0.49275362318840582</v>
      </c>
      <c r="H9" s="437">
        <f>6+8+7</f>
        <v>21</v>
      </c>
      <c r="I9" s="434">
        <f t="shared" si="1"/>
        <v>0.28378378378378377</v>
      </c>
      <c r="J9" s="435">
        <v>30</v>
      </c>
      <c r="K9" s="436">
        <v>0.45454545454545453</v>
      </c>
      <c r="L9" s="435">
        <v>16</v>
      </c>
      <c r="M9" s="436">
        <v>0.32653061224489793</v>
      </c>
      <c r="N9" s="435">
        <v>19</v>
      </c>
      <c r="O9" s="436">
        <f t="shared" si="2"/>
        <v>0.27536231884057971</v>
      </c>
      <c r="P9" s="437">
        <f>5+8+7</f>
        <v>20</v>
      </c>
      <c r="Q9" s="434">
        <f t="shared" si="3"/>
        <v>0.27027027027027029</v>
      </c>
    </row>
    <row r="10" spans="1:19" ht="18.75" thickBot="1">
      <c r="A10" s="431">
        <v>2</v>
      </c>
      <c r="B10" s="438">
        <v>3</v>
      </c>
      <c r="C10" s="439">
        <v>4.5454545454545456E-2</v>
      </c>
      <c r="D10" s="438">
        <v>9</v>
      </c>
      <c r="E10" s="439">
        <v>0.18367346938775511</v>
      </c>
      <c r="F10" s="1202">
        <v>8</v>
      </c>
      <c r="G10" s="439">
        <f t="shared" si="0"/>
        <v>0.11594202898550725</v>
      </c>
      <c r="H10" s="440">
        <f>17+16+11</f>
        <v>44</v>
      </c>
      <c r="I10" s="441">
        <f t="shared" si="1"/>
        <v>0.59459459459459463</v>
      </c>
      <c r="J10" s="438">
        <v>10</v>
      </c>
      <c r="K10" s="439">
        <v>0.15151515151515152</v>
      </c>
      <c r="L10" s="438">
        <v>10</v>
      </c>
      <c r="M10" s="439">
        <v>0.20408163265306123</v>
      </c>
      <c r="N10" s="1202">
        <v>31</v>
      </c>
      <c r="O10" s="439">
        <f t="shared" si="2"/>
        <v>0.44927536231884058</v>
      </c>
      <c r="P10" s="440">
        <f>15+13+11</f>
        <v>39</v>
      </c>
      <c r="Q10" s="441">
        <f>P10/74</f>
        <v>0.52702702702702697</v>
      </c>
    </row>
    <row r="11" spans="1:19" ht="18.75" thickBot="1">
      <c r="A11" s="431">
        <v>1</v>
      </c>
      <c r="B11" s="438">
        <v>0</v>
      </c>
      <c r="C11" s="439">
        <v>0</v>
      </c>
      <c r="D11" s="438">
        <v>1</v>
      </c>
      <c r="E11" s="439">
        <v>2.0408163265306121E-2</v>
      </c>
      <c r="F11" s="1202">
        <v>0</v>
      </c>
      <c r="G11" s="439">
        <f t="shared" si="0"/>
        <v>0</v>
      </c>
      <c r="H11" s="440">
        <v>3</v>
      </c>
      <c r="I11" s="441">
        <f t="shared" si="1"/>
        <v>4.0540540540540543E-2</v>
      </c>
      <c r="J11" s="438">
        <v>1</v>
      </c>
      <c r="K11" s="439">
        <v>1.5151515151515152E-2</v>
      </c>
      <c r="L11" s="438">
        <v>2</v>
      </c>
      <c r="M11" s="439">
        <v>4.0816326530612242E-2</v>
      </c>
      <c r="N11" s="1202">
        <v>2</v>
      </c>
      <c r="O11" s="439">
        <f t="shared" si="2"/>
        <v>2.8985507246376812E-2</v>
      </c>
      <c r="P11" s="440">
        <v>5</v>
      </c>
      <c r="Q11" s="441">
        <f>P11/74</f>
        <v>6.7567567567567571E-2</v>
      </c>
    </row>
    <row r="12" spans="1:19" ht="18.75" thickBot="1">
      <c r="A12" s="431" t="s">
        <v>434</v>
      </c>
      <c r="B12" s="442">
        <v>0</v>
      </c>
      <c r="C12" s="443">
        <v>0</v>
      </c>
      <c r="D12" s="442">
        <v>2</v>
      </c>
      <c r="E12" s="443">
        <v>4.0816326530612242E-2</v>
      </c>
      <c r="F12" s="442">
        <v>2</v>
      </c>
      <c r="G12" s="443">
        <f t="shared" si="0"/>
        <v>2.8985507246376812E-2</v>
      </c>
      <c r="H12" s="444">
        <v>0</v>
      </c>
      <c r="I12" s="176">
        <f t="shared" si="1"/>
        <v>0</v>
      </c>
      <c r="J12" s="442">
        <v>0</v>
      </c>
      <c r="K12" s="443">
        <v>0</v>
      </c>
      <c r="L12" s="442">
        <v>3</v>
      </c>
      <c r="M12" s="443">
        <v>6.1224489795918366E-2</v>
      </c>
      <c r="N12" s="442">
        <v>1</v>
      </c>
      <c r="O12" s="443">
        <f t="shared" si="2"/>
        <v>1.4492753623188406E-2</v>
      </c>
      <c r="P12" s="444">
        <v>0</v>
      </c>
      <c r="Q12" s="176">
        <f>P12/74</f>
        <v>0</v>
      </c>
      <c r="S12">
        <f>14+27</f>
        <v>41</v>
      </c>
    </row>
    <row r="14" spans="1:19">
      <c r="M14" s="19">
        <f>(M7+M8+M9)</f>
        <v>0.69387755102040816</v>
      </c>
      <c r="N14">
        <f>(52+69)/2</f>
        <v>60.5</v>
      </c>
    </row>
    <row r="17" spans="1:17" ht="18.75" thickBot="1">
      <c r="A17" s="1818" t="s">
        <v>639</v>
      </c>
      <c r="B17" s="1818"/>
      <c r="C17" s="1818"/>
      <c r="D17" s="1818"/>
      <c r="E17" s="1818"/>
      <c r="F17" s="1818"/>
      <c r="G17" s="1818"/>
      <c r="H17" s="1818"/>
      <c r="I17" s="1818"/>
      <c r="J17" s="1818"/>
      <c r="K17" s="1818"/>
      <c r="L17" s="1818"/>
      <c r="M17" s="1818"/>
      <c r="N17" s="1818"/>
      <c r="O17" s="1818"/>
      <c r="P17" s="1818"/>
      <c r="Q17" s="1818"/>
    </row>
    <row r="18" spans="1:17" ht="19.5" thickBot="1">
      <c r="A18" s="429" t="s">
        <v>428</v>
      </c>
      <c r="B18" s="1819" t="s">
        <v>435</v>
      </c>
      <c r="C18" s="1820"/>
      <c r="D18" s="1820"/>
      <c r="E18" s="1820"/>
      <c r="F18" s="1820"/>
      <c r="G18" s="1820"/>
      <c r="H18" s="1820"/>
      <c r="I18" s="1820"/>
      <c r="J18" s="1820"/>
      <c r="K18" s="1820"/>
      <c r="L18" s="1820"/>
      <c r="M18" s="1820"/>
      <c r="N18" s="1820"/>
      <c r="O18" s="1820"/>
      <c r="P18" s="1820"/>
      <c r="Q18" s="1820"/>
    </row>
    <row r="19" spans="1:17" ht="18.75" thickBot="1">
      <c r="A19" s="148"/>
      <c r="B19" s="1810" t="s">
        <v>430</v>
      </c>
      <c r="C19" s="1810"/>
      <c r="D19" s="1810"/>
      <c r="E19" s="1810"/>
      <c r="F19" s="1810"/>
      <c r="G19" s="1810"/>
      <c r="H19" s="1810"/>
      <c r="I19" s="1810"/>
      <c r="J19" s="1810"/>
      <c r="K19" s="1810"/>
      <c r="L19" s="1810"/>
      <c r="M19" s="1810"/>
      <c r="N19" s="1810"/>
      <c r="O19" s="1810"/>
      <c r="P19" s="1810"/>
      <c r="Q19" s="1810"/>
    </row>
    <row r="20" spans="1:17" ht="17.25" thickBot="1">
      <c r="A20" s="1733" t="s">
        <v>431</v>
      </c>
      <c r="B20" s="1805" t="s">
        <v>432</v>
      </c>
      <c r="C20" s="1806"/>
      <c r="D20" s="1806"/>
      <c r="E20" s="1806"/>
      <c r="F20" s="1806"/>
      <c r="G20" s="1806"/>
      <c r="H20" s="1806"/>
      <c r="I20" s="1807"/>
      <c r="J20" s="1808" t="s">
        <v>95</v>
      </c>
      <c r="K20" s="1809"/>
      <c r="L20" s="1809"/>
      <c r="M20" s="1809"/>
      <c r="N20" s="1809"/>
      <c r="O20" s="1809"/>
      <c r="P20" s="1809"/>
      <c r="Q20" s="1809"/>
    </row>
    <row r="21" spans="1:17" ht="18.75" thickBot="1">
      <c r="A21" s="1733"/>
      <c r="B21" s="1821" t="s">
        <v>417</v>
      </c>
      <c r="C21" s="1821"/>
      <c r="D21" s="1821" t="s">
        <v>418</v>
      </c>
      <c r="E21" s="1821"/>
      <c r="F21" s="1821" t="s">
        <v>421</v>
      </c>
      <c r="G21" s="1821"/>
      <c r="H21" s="1804" t="s">
        <v>638</v>
      </c>
      <c r="I21" s="1804"/>
      <c r="J21" s="1821" t="s">
        <v>417</v>
      </c>
      <c r="K21" s="1821"/>
      <c r="L21" s="1821" t="s">
        <v>418</v>
      </c>
      <c r="M21" s="1821"/>
      <c r="N21" s="1821" t="s">
        <v>421</v>
      </c>
      <c r="O21" s="1821"/>
      <c r="P21" s="1804" t="s">
        <v>638</v>
      </c>
      <c r="Q21" s="1804"/>
    </row>
    <row r="22" spans="1:17" ht="15.75" thickBot="1">
      <c r="A22" s="1822"/>
      <c r="B22" s="330" t="s">
        <v>433</v>
      </c>
      <c r="C22" s="321" t="s">
        <v>147</v>
      </c>
      <c r="D22" s="330" t="s">
        <v>433</v>
      </c>
      <c r="E22" s="321" t="s">
        <v>147</v>
      </c>
      <c r="F22" s="330" t="s">
        <v>433</v>
      </c>
      <c r="G22" s="321" t="s">
        <v>147</v>
      </c>
      <c r="H22" s="330" t="s">
        <v>433</v>
      </c>
      <c r="I22" s="321" t="s">
        <v>147</v>
      </c>
      <c r="J22" s="330" t="s">
        <v>433</v>
      </c>
      <c r="K22" s="321" t="s">
        <v>147</v>
      </c>
      <c r="L22" s="330" t="s">
        <v>433</v>
      </c>
      <c r="M22" s="321" t="s">
        <v>147</v>
      </c>
      <c r="N22" s="330" t="s">
        <v>433</v>
      </c>
      <c r="O22" s="321" t="s">
        <v>147</v>
      </c>
      <c r="P22" s="330" t="s">
        <v>433</v>
      </c>
      <c r="Q22" s="430" t="s">
        <v>147</v>
      </c>
    </row>
    <row r="23" spans="1:17" ht="18.75" thickBot="1">
      <c r="A23" s="431">
        <v>5</v>
      </c>
      <c r="B23" s="330">
        <v>1</v>
      </c>
      <c r="C23" s="432">
        <v>1.7543859649122806E-2</v>
      </c>
      <c r="D23" s="330">
        <v>1</v>
      </c>
      <c r="E23" s="432">
        <v>1.6666666666666666E-2</v>
      </c>
      <c r="F23" s="330">
        <v>0</v>
      </c>
      <c r="G23" s="432">
        <f t="shared" ref="G23:G28" si="4">F23/65</f>
        <v>0</v>
      </c>
      <c r="H23" s="433">
        <v>0</v>
      </c>
      <c r="I23" s="434">
        <f>H23/63</f>
        <v>0</v>
      </c>
      <c r="J23" s="330">
        <v>0</v>
      </c>
      <c r="K23" s="432">
        <v>0</v>
      </c>
      <c r="L23" s="330">
        <v>1</v>
      </c>
      <c r="M23" s="432">
        <v>1.6666666666666666E-2</v>
      </c>
      <c r="N23" s="330">
        <v>0</v>
      </c>
      <c r="O23" s="432">
        <f t="shared" ref="O23:O28" si="5">N23/65</f>
        <v>0</v>
      </c>
      <c r="P23" s="433">
        <v>1</v>
      </c>
      <c r="Q23" s="434">
        <f>P23/63</f>
        <v>1.5873015873015872E-2</v>
      </c>
    </row>
    <row r="24" spans="1:17" ht="18.75" thickBot="1">
      <c r="A24" s="431">
        <v>4</v>
      </c>
      <c r="B24" s="330">
        <v>5</v>
      </c>
      <c r="C24" s="432">
        <v>8.771929824561403E-2</v>
      </c>
      <c r="D24" s="330">
        <v>8</v>
      </c>
      <c r="E24" s="432">
        <v>0.13333333333333333</v>
      </c>
      <c r="F24" s="330">
        <v>12</v>
      </c>
      <c r="G24" s="432">
        <f t="shared" si="4"/>
        <v>0.18461538461538463</v>
      </c>
      <c r="H24" s="433">
        <v>2</v>
      </c>
      <c r="I24" s="434">
        <f t="shared" ref="I24:I25" si="6">H24/63</f>
        <v>3.1746031746031744E-2</v>
      </c>
      <c r="J24" s="330">
        <v>2</v>
      </c>
      <c r="K24" s="432">
        <v>3.5087719298245612E-2</v>
      </c>
      <c r="L24" s="330">
        <v>6</v>
      </c>
      <c r="M24" s="432">
        <v>0.1</v>
      </c>
      <c r="N24" s="330">
        <v>3</v>
      </c>
      <c r="O24" s="432">
        <f t="shared" si="5"/>
        <v>4.6153846153846156E-2</v>
      </c>
      <c r="P24" s="433">
        <v>4</v>
      </c>
      <c r="Q24" s="434">
        <f t="shared" ref="Q24:Q25" si="7">P24/63</f>
        <v>6.3492063492063489E-2</v>
      </c>
    </row>
    <row r="25" spans="1:17" ht="18.75" thickBot="1">
      <c r="A25" s="431">
        <v>3</v>
      </c>
      <c r="B25" s="435">
        <v>32</v>
      </c>
      <c r="C25" s="436">
        <v>0.56140350877192979</v>
      </c>
      <c r="D25" s="435">
        <v>29</v>
      </c>
      <c r="E25" s="436">
        <v>0.48333333333333334</v>
      </c>
      <c r="F25" s="435">
        <v>15</v>
      </c>
      <c r="G25" s="436">
        <f t="shared" si="4"/>
        <v>0.23076923076923078</v>
      </c>
      <c r="H25" s="437">
        <v>18</v>
      </c>
      <c r="I25" s="434">
        <f t="shared" si="6"/>
        <v>0.2857142857142857</v>
      </c>
      <c r="J25" s="435">
        <v>16</v>
      </c>
      <c r="K25" s="436">
        <v>0.2807017543859649</v>
      </c>
      <c r="L25" s="435">
        <v>24</v>
      </c>
      <c r="M25" s="436">
        <v>0.4</v>
      </c>
      <c r="N25" s="435">
        <v>7</v>
      </c>
      <c r="O25" s="436">
        <f t="shared" si="5"/>
        <v>0.1076923076923077</v>
      </c>
      <c r="P25" s="437">
        <f>14</f>
        <v>14</v>
      </c>
      <c r="Q25" s="434">
        <f t="shared" si="7"/>
        <v>0.22222222222222221</v>
      </c>
    </row>
    <row r="26" spans="1:17" ht="18.75" thickBot="1">
      <c r="A26" s="431">
        <v>2</v>
      </c>
      <c r="B26" s="438">
        <v>15</v>
      </c>
      <c r="C26" s="439">
        <v>0.26315789473684209</v>
      </c>
      <c r="D26" s="438">
        <v>14</v>
      </c>
      <c r="E26" s="439">
        <v>0.23333333333333334</v>
      </c>
      <c r="F26" s="1202">
        <v>32</v>
      </c>
      <c r="G26" s="439">
        <f t="shared" si="4"/>
        <v>0.49230769230769234</v>
      </c>
      <c r="H26" s="440">
        <v>35</v>
      </c>
      <c r="I26" s="441">
        <f>H26/63</f>
        <v>0.55555555555555558</v>
      </c>
      <c r="J26" s="438">
        <v>31</v>
      </c>
      <c r="K26" s="439">
        <v>0.54385964912280704</v>
      </c>
      <c r="L26" s="438">
        <v>19</v>
      </c>
      <c r="M26" s="439">
        <v>0.31666666666666665</v>
      </c>
      <c r="N26" s="1202">
        <v>43</v>
      </c>
      <c r="O26" s="439">
        <f t="shared" si="5"/>
        <v>0.66153846153846152</v>
      </c>
      <c r="P26" s="440">
        <f>13+12+9</f>
        <v>34</v>
      </c>
      <c r="Q26" s="441">
        <f>P26/63</f>
        <v>0.53968253968253965</v>
      </c>
    </row>
    <row r="27" spans="1:17" ht="18.75" thickBot="1">
      <c r="A27" s="431">
        <v>1</v>
      </c>
      <c r="B27" s="438">
        <v>1</v>
      </c>
      <c r="C27" s="439">
        <v>1.7543859649122806E-2</v>
      </c>
      <c r="D27" s="438">
        <v>0</v>
      </c>
      <c r="E27" s="439">
        <v>0</v>
      </c>
      <c r="F27" s="1202">
        <v>2</v>
      </c>
      <c r="G27" s="439">
        <f t="shared" si="4"/>
        <v>3.0769230769230771E-2</v>
      </c>
      <c r="H27" s="440">
        <v>7</v>
      </c>
      <c r="I27" s="441">
        <f>H27/63</f>
        <v>0.1111111111111111</v>
      </c>
      <c r="J27" s="438">
        <v>2</v>
      </c>
      <c r="K27" s="439">
        <v>3.5087719298245612E-2</v>
      </c>
      <c r="L27" s="438">
        <v>2</v>
      </c>
      <c r="M27" s="439">
        <v>3.3333333333333333E-2</v>
      </c>
      <c r="N27" s="1202">
        <v>11</v>
      </c>
      <c r="O27" s="439">
        <f t="shared" si="5"/>
        <v>0.16923076923076924</v>
      </c>
      <c r="P27" s="440">
        <f>9</f>
        <v>9</v>
      </c>
      <c r="Q27" s="441">
        <f>P27/63</f>
        <v>0.14285714285714285</v>
      </c>
    </row>
    <row r="28" spans="1:17" ht="18.75" thickBot="1">
      <c r="A28" s="431" t="s">
        <v>434</v>
      </c>
      <c r="B28" s="442">
        <v>3</v>
      </c>
      <c r="C28" s="443">
        <v>5.2631578947368418E-2</v>
      </c>
      <c r="D28" s="442">
        <v>8</v>
      </c>
      <c r="E28" s="443">
        <v>0.13333333333333333</v>
      </c>
      <c r="F28" s="442">
        <v>4</v>
      </c>
      <c r="G28" s="443">
        <f t="shared" si="4"/>
        <v>6.1538461538461542E-2</v>
      </c>
      <c r="H28" s="444">
        <v>1</v>
      </c>
      <c r="I28" s="176">
        <f>H28/63</f>
        <v>1.5873015873015872E-2</v>
      </c>
      <c r="J28" s="442">
        <v>6</v>
      </c>
      <c r="K28" s="443">
        <v>0.10526315789473684</v>
      </c>
      <c r="L28" s="442">
        <v>8</v>
      </c>
      <c r="M28" s="443">
        <v>0.13333333333333333</v>
      </c>
      <c r="N28" s="442">
        <v>1</v>
      </c>
      <c r="O28" s="443">
        <f t="shared" si="5"/>
        <v>1.5384615384615385E-2</v>
      </c>
      <c r="P28" s="444">
        <v>1</v>
      </c>
      <c r="Q28" s="176">
        <f>P28/63</f>
        <v>1.5873015873015872E-2</v>
      </c>
    </row>
    <row r="30" spans="1:17">
      <c r="O30">
        <f>(51+16)/2</f>
        <v>33.5</v>
      </c>
    </row>
    <row r="31" spans="1:17" ht="13.5" thickBot="1"/>
    <row r="32" spans="1:17" ht="18.75" thickBot="1">
      <c r="B32" s="1220"/>
      <c r="C32" s="1220"/>
      <c r="D32" s="1220"/>
      <c r="E32" s="1813" t="s">
        <v>449</v>
      </c>
      <c r="F32" s="1813"/>
      <c r="G32" s="1813"/>
      <c r="H32" s="1813"/>
      <c r="I32" s="1813"/>
      <c r="J32" s="1813"/>
      <c r="K32" s="1813"/>
      <c r="L32" s="1813"/>
      <c r="M32" s="1813"/>
      <c r="N32" s="1220"/>
      <c r="O32" s="1220"/>
    </row>
    <row r="33" spans="1:17" ht="18.75" thickBot="1">
      <c r="B33" s="68"/>
      <c r="C33" s="68"/>
      <c r="D33" s="68"/>
      <c r="E33" s="429" t="s">
        <v>428</v>
      </c>
      <c r="F33" s="1814" t="s">
        <v>436</v>
      </c>
      <c r="G33" s="1814"/>
      <c r="H33" s="1814"/>
      <c r="I33" s="1814"/>
      <c r="J33" s="1814"/>
      <c r="K33" s="1814"/>
      <c r="L33" s="1814"/>
      <c r="M33" s="1814"/>
      <c r="N33" s="1220"/>
      <c r="O33" s="1220"/>
    </row>
    <row r="34" spans="1:17" ht="18.75" thickBot="1">
      <c r="A34" s="148"/>
      <c r="B34" s="68"/>
      <c r="C34" s="1221"/>
      <c r="D34" s="1221"/>
      <c r="E34" s="1815" t="s">
        <v>450</v>
      </c>
      <c r="F34" s="1815"/>
      <c r="G34" s="1815"/>
      <c r="H34" s="1815"/>
      <c r="I34" s="1815"/>
      <c r="J34" s="1815"/>
      <c r="K34" s="1815"/>
      <c r="L34" s="1815"/>
      <c r="M34" s="1815"/>
      <c r="N34" s="1221"/>
      <c r="O34" s="1221"/>
    </row>
    <row r="35" spans="1:17" ht="17.25" thickBot="1">
      <c r="B35" s="68"/>
      <c r="C35" s="68"/>
      <c r="D35" s="68"/>
      <c r="E35" s="1823" t="s">
        <v>431</v>
      </c>
      <c r="F35" s="1805" t="s">
        <v>432</v>
      </c>
      <c r="G35" s="1806"/>
      <c r="H35" s="1806"/>
      <c r="I35" s="1807"/>
      <c r="J35" s="1805" t="s">
        <v>95</v>
      </c>
      <c r="K35" s="1806"/>
      <c r="L35" s="1806"/>
      <c r="M35" s="1806"/>
      <c r="N35" s="473"/>
      <c r="O35" s="473"/>
    </row>
    <row r="36" spans="1:17" ht="18.75" thickBot="1">
      <c r="E36" s="1733"/>
      <c r="F36" s="1824" t="s">
        <v>421</v>
      </c>
      <c r="G36" s="1824"/>
      <c r="H36" s="1804" t="s">
        <v>638</v>
      </c>
      <c r="I36" s="1804"/>
      <c r="J36" s="1816" t="s">
        <v>421</v>
      </c>
      <c r="K36" s="1817"/>
      <c r="L36" s="1804" t="s">
        <v>638</v>
      </c>
      <c r="M36" s="1804"/>
      <c r="N36" s="68"/>
      <c r="O36" s="68"/>
    </row>
    <row r="37" spans="1:17" ht="15.75" thickBot="1">
      <c r="E37" s="1822"/>
      <c r="F37" s="1209" t="s">
        <v>433</v>
      </c>
      <c r="G37" s="1210" t="s">
        <v>147</v>
      </c>
      <c r="H37" s="1209" t="s">
        <v>433</v>
      </c>
      <c r="I37" s="1210" t="s">
        <v>147</v>
      </c>
      <c r="J37" s="1203" t="s">
        <v>433</v>
      </c>
      <c r="K37" s="469" t="s">
        <v>147</v>
      </c>
      <c r="L37" s="1209" t="s">
        <v>433</v>
      </c>
      <c r="M37" s="1210" t="s">
        <v>147</v>
      </c>
      <c r="N37" s="68"/>
      <c r="O37" s="68"/>
    </row>
    <row r="38" spans="1:17" ht="18.75" thickBot="1">
      <c r="E38" s="431">
        <v>5</v>
      </c>
      <c r="F38" s="1204">
        <v>2</v>
      </c>
      <c r="G38" s="434">
        <f>F38/119</f>
        <v>1.680672268907563E-2</v>
      </c>
      <c r="H38" s="1204">
        <f>0+0+0+0+0+0+0</f>
        <v>0</v>
      </c>
      <c r="I38" s="434">
        <f>H38/130</f>
        <v>0</v>
      </c>
      <c r="J38" s="1204">
        <f>1</f>
        <v>1</v>
      </c>
      <c r="K38" s="470">
        <f t="shared" ref="K38:K43" si="8">J38/119</f>
        <v>8.4033613445378148E-3</v>
      </c>
      <c r="L38" s="1204">
        <f>1</f>
        <v>1</v>
      </c>
      <c r="M38" s="470">
        <f>L38/130</f>
        <v>7.6923076923076927E-3</v>
      </c>
      <c r="N38" s="68"/>
      <c r="O38" s="68"/>
    </row>
    <row r="39" spans="1:17" ht="18.75" thickBot="1">
      <c r="E39" s="431">
        <v>4</v>
      </c>
      <c r="F39" s="1204">
        <f>6+0+1+1+6+3</f>
        <v>17</v>
      </c>
      <c r="G39" s="434">
        <f>F39/119</f>
        <v>0.14285714285714285</v>
      </c>
      <c r="H39" s="1204">
        <f>0+2+0+2+1+0+0</f>
        <v>5</v>
      </c>
      <c r="I39" s="434">
        <f t="shared" ref="I39:I40" si="9">H39/130</f>
        <v>3.8461538461538464E-2</v>
      </c>
      <c r="J39" s="1204">
        <v>7</v>
      </c>
      <c r="K39" s="470">
        <f t="shared" si="8"/>
        <v>5.8823529411764705E-2</v>
      </c>
      <c r="L39" s="1204">
        <f>5</f>
        <v>5</v>
      </c>
      <c r="M39" s="470">
        <f t="shared" ref="M39:M40" si="10">L39/130</f>
        <v>3.8461538461538464E-2</v>
      </c>
      <c r="N39" s="68"/>
      <c r="O39" s="68"/>
    </row>
    <row r="40" spans="1:17" ht="18.75" thickBot="1">
      <c r="E40" s="431">
        <v>3</v>
      </c>
      <c r="F40" s="1207">
        <f>15+8+8+11+9+5</f>
        <v>56</v>
      </c>
      <c r="G40" s="434">
        <f>F40/119</f>
        <v>0.47058823529411764</v>
      </c>
      <c r="H40" s="1207">
        <f>6+12+4+8+8+5+0</f>
        <v>43</v>
      </c>
      <c r="I40" s="434">
        <f t="shared" si="9"/>
        <v>0.33076923076923076</v>
      </c>
      <c r="J40" s="1207">
        <f>2+5+3+6+6</f>
        <v>22</v>
      </c>
      <c r="K40" s="470">
        <f t="shared" si="8"/>
        <v>0.18487394957983194</v>
      </c>
      <c r="L40" s="1207">
        <f>8+3+9+5+3</f>
        <v>28</v>
      </c>
      <c r="M40" s="470">
        <f t="shared" si="10"/>
        <v>0.2153846153846154</v>
      </c>
      <c r="N40" s="68"/>
      <c r="O40" s="68"/>
    </row>
    <row r="41" spans="1:17" ht="18.75" thickBot="1">
      <c r="E41" s="431">
        <v>2</v>
      </c>
      <c r="F41" s="1201">
        <f>5+1+11+4+9+8+6</f>
        <v>44</v>
      </c>
      <c r="G41" s="441">
        <f>F41/119</f>
        <v>0.36974789915966388</v>
      </c>
      <c r="H41" s="1201">
        <f>15+7+14+12+6+10+3</f>
        <v>67</v>
      </c>
      <c r="I41" s="441">
        <f>H41/130</f>
        <v>0.51538461538461533</v>
      </c>
      <c r="J41" s="1201">
        <f>9+12+13+8+11+12</f>
        <v>65</v>
      </c>
      <c r="K41" s="471">
        <f t="shared" si="8"/>
        <v>0.54621848739495793</v>
      </c>
      <c r="L41" s="1201">
        <f>6+9+10+9+9+6</f>
        <v>49</v>
      </c>
      <c r="M41" s="471">
        <f>L41/130</f>
        <v>0.37692307692307692</v>
      </c>
      <c r="N41" s="68"/>
      <c r="O41" s="68"/>
    </row>
    <row r="42" spans="1:17" ht="18.75" thickBot="1">
      <c r="E42" s="431">
        <v>1</v>
      </c>
      <c r="F42" s="1201">
        <v>0</v>
      </c>
      <c r="G42" s="441">
        <f>F42/119</f>
        <v>0</v>
      </c>
      <c r="H42" s="1201">
        <f>0+2+1+0+1+1</f>
        <v>5</v>
      </c>
      <c r="I42" s="441">
        <f>H42/130</f>
        <v>3.8461538461538464E-2</v>
      </c>
      <c r="J42" s="1201">
        <f>4+8+2+2+2+4+1</f>
        <v>23</v>
      </c>
      <c r="K42" s="471">
        <f t="shared" si="8"/>
        <v>0.19327731092436976</v>
      </c>
      <c r="L42" s="1201">
        <f>5+6+1+3+6+4+14</f>
        <v>39</v>
      </c>
      <c r="M42" s="471">
        <f>L42/130</f>
        <v>0.3</v>
      </c>
      <c r="N42" s="68"/>
      <c r="O42" s="68"/>
    </row>
    <row r="43" spans="1:17" ht="18.75" thickBot="1">
      <c r="E43" s="431" t="s">
        <v>434</v>
      </c>
      <c r="F43" s="1208">
        <v>0</v>
      </c>
      <c r="G43" s="176">
        <v>0</v>
      </c>
      <c r="H43" s="1208">
        <f>10</f>
        <v>10</v>
      </c>
      <c r="I43" s="176">
        <f>H43/130</f>
        <v>7.6923076923076927E-2</v>
      </c>
      <c r="J43" s="1208">
        <v>1</v>
      </c>
      <c r="K43" s="472">
        <f t="shared" si="8"/>
        <v>8.4033613445378148E-3</v>
      </c>
      <c r="L43" s="1208">
        <v>8</v>
      </c>
      <c r="M43" s="472">
        <f>L43/130</f>
        <v>6.1538461538461542E-2</v>
      </c>
      <c r="N43" s="68"/>
      <c r="O43" s="68"/>
    </row>
    <row r="44" spans="1:17" ht="18">
      <c r="A44" s="148"/>
      <c r="B44" s="445"/>
      <c r="C44" s="445"/>
      <c r="D44" s="446"/>
      <c r="E44" s="446"/>
      <c r="F44" s="447"/>
      <c r="G44" s="626"/>
      <c r="H44" s="626"/>
      <c r="I44" s="626"/>
      <c r="J44" s="445"/>
      <c r="K44" s="448"/>
      <c r="L44" s="626"/>
      <c r="M44" s="449"/>
      <c r="N44" s="447"/>
      <c r="O44" s="450">
        <f>N44/141</f>
        <v>0</v>
      </c>
    </row>
    <row r="45" spans="1:17" ht="18">
      <c r="A45" s="451"/>
      <c r="B45" s="451"/>
      <c r="C45" s="451"/>
      <c r="D45" s="451"/>
      <c r="E45" s="451"/>
      <c r="F45" s="451"/>
      <c r="G45" s="451"/>
      <c r="H45" s="451"/>
      <c r="I45" s="451"/>
      <c r="J45" s="451"/>
      <c r="K45" s="1222">
        <f>K38+K39+K40</f>
        <v>0.25210084033613445</v>
      </c>
      <c r="L45" s="451"/>
      <c r="M45" s="1222">
        <f>M38+M39+M40</f>
        <v>0.26153846153846155</v>
      </c>
      <c r="N45" s="451"/>
      <c r="O45" s="451"/>
    </row>
    <row r="46" spans="1:17" ht="18">
      <c r="A46" s="452"/>
      <c r="B46" s="452"/>
      <c r="C46" s="452"/>
      <c r="D46" s="148"/>
      <c r="E46" s="148"/>
      <c r="F46" s="148"/>
      <c r="G46" s="148"/>
      <c r="H46" s="148"/>
      <c r="I46" s="148"/>
      <c r="J46" s="148"/>
      <c r="K46" s="148"/>
      <c r="L46" s="148"/>
      <c r="M46" s="148"/>
      <c r="N46" s="148"/>
      <c r="O46" s="148"/>
    </row>
    <row r="47" spans="1:17" ht="18.75" thickBot="1">
      <c r="A47" s="1818" t="s">
        <v>438</v>
      </c>
      <c r="B47" s="1818"/>
      <c r="C47" s="1818"/>
      <c r="D47" s="1818"/>
      <c r="E47" s="1818"/>
      <c r="F47" s="1818"/>
      <c r="G47" s="1818"/>
      <c r="H47" s="1818"/>
      <c r="I47" s="1818"/>
      <c r="J47" s="1818"/>
      <c r="K47" s="1818"/>
      <c r="L47" s="1818"/>
      <c r="M47" s="1818"/>
      <c r="N47" s="1818"/>
      <c r="O47" s="1818"/>
    </row>
    <row r="48" spans="1:17" ht="18.75" thickBot="1">
      <c r="A48" s="429" t="s">
        <v>428</v>
      </c>
      <c r="B48" s="1811" t="s">
        <v>436</v>
      </c>
      <c r="C48" s="1812"/>
      <c r="D48" s="1812"/>
      <c r="E48" s="1812"/>
      <c r="F48" s="1812"/>
      <c r="G48" s="1812"/>
      <c r="H48" s="1812"/>
      <c r="I48" s="1812"/>
      <c r="J48" s="1812"/>
      <c r="K48" s="1812"/>
      <c r="L48" s="1812"/>
      <c r="M48" s="1812"/>
      <c r="N48" s="1812"/>
      <c r="O48" s="1812"/>
      <c r="P48" s="1812"/>
      <c r="Q48" s="1812"/>
    </row>
    <row r="49" spans="1:17" ht="18.75" thickBot="1">
      <c r="A49" s="148"/>
      <c r="B49" s="1810" t="s">
        <v>437</v>
      </c>
      <c r="C49" s="1810"/>
      <c r="D49" s="1810"/>
      <c r="E49" s="1810"/>
      <c r="F49" s="1810"/>
      <c r="G49" s="1810"/>
      <c r="H49" s="1810"/>
      <c r="I49" s="1810"/>
      <c r="J49" s="1810"/>
      <c r="K49" s="1810"/>
      <c r="L49" s="1810"/>
      <c r="M49" s="1810"/>
      <c r="N49" s="1810"/>
      <c r="O49" s="1810"/>
      <c r="P49" s="1810"/>
      <c r="Q49" s="1810"/>
    </row>
    <row r="50" spans="1:17" ht="17.25" thickBot="1">
      <c r="A50" s="1733" t="s">
        <v>431</v>
      </c>
      <c r="B50" s="1805" t="s">
        <v>432</v>
      </c>
      <c r="C50" s="1806"/>
      <c r="D50" s="1806"/>
      <c r="E50" s="1806"/>
      <c r="F50" s="1806"/>
      <c r="G50" s="1806"/>
      <c r="H50" s="1806"/>
      <c r="I50" s="1807"/>
      <c r="J50" s="1808" t="s">
        <v>95</v>
      </c>
      <c r="K50" s="1809"/>
      <c r="L50" s="1809"/>
      <c r="M50" s="1809"/>
      <c r="N50" s="1809"/>
      <c r="O50" s="1809"/>
      <c r="P50" s="1809"/>
      <c r="Q50" s="1809"/>
    </row>
    <row r="51" spans="1:17" ht="18.75" thickBot="1">
      <c r="A51" s="1733"/>
      <c r="B51" s="1821" t="s">
        <v>417</v>
      </c>
      <c r="C51" s="1821"/>
      <c r="D51" s="1821" t="s">
        <v>418</v>
      </c>
      <c r="E51" s="1821"/>
      <c r="F51" s="1821" t="s">
        <v>421</v>
      </c>
      <c r="G51" s="1821"/>
      <c r="H51" s="1804" t="s">
        <v>638</v>
      </c>
      <c r="I51" s="1804"/>
      <c r="J51" s="1821" t="s">
        <v>417</v>
      </c>
      <c r="K51" s="1821"/>
      <c r="L51" s="1821" t="s">
        <v>418</v>
      </c>
      <c r="M51" s="1821"/>
      <c r="N51" s="1821" t="s">
        <v>421</v>
      </c>
      <c r="O51" s="1821"/>
      <c r="P51" s="1804" t="s">
        <v>638</v>
      </c>
      <c r="Q51" s="1804"/>
    </row>
    <row r="52" spans="1:17" ht="15.75" thickBot="1">
      <c r="A52" s="1822"/>
      <c r="B52" s="330" t="s">
        <v>433</v>
      </c>
      <c r="C52" s="321" t="s">
        <v>147</v>
      </c>
      <c r="D52" s="330" t="s">
        <v>433</v>
      </c>
      <c r="E52" s="321" t="s">
        <v>147</v>
      </c>
      <c r="F52" s="330" t="s">
        <v>433</v>
      </c>
      <c r="G52" s="321" t="s">
        <v>147</v>
      </c>
      <c r="H52" s="330" t="s">
        <v>433</v>
      </c>
      <c r="I52" s="321" t="s">
        <v>147</v>
      </c>
      <c r="J52" s="330" t="s">
        <v>433</v>
      </c>
      <c r="K52" s="430" t="s">
        <v>147</v>
      </c>
      <c r="L52" s="330" t="s">
        <v>433</v>
      </c>
      <c r="M52" s="430" t="s">
        <v>147</v>
      </c>
      <c r="N52" s="330" t="s">
        <v>433</v>
      </c>
      <c r="O52" s="430" t="s">
        <v>147</v>
      </c>
      <c r="P52" s="330" t="s">
        <v>433</v>
      </c>
      <c r="Q52" s="430" t="s">
        <v>147</v>
      </c>
    </row>
    <row r="53" spans="1:17" ht="18.75" thickBot="1">
      <c r="A53" s="431">
        <v>5</v>
      </c>
      <c r="B53" s="330">
        <v>2</v>
      </c>
      <c r="C53" s="432">
        <v>2.1276595744680851E-2</v>
      </c>
      <c r="D53" s="330">
        <v>2</v>
      </c>
      <c r="E53" s="432">
        <v>2.4691358024691357E-2</v>
      </c>
      <c r="F53" s="330">
        <f>0+0+0+0</f>
        <v>0</v>
      </c>
      <c r="G53" s="432">
        <f>F53/78</f>
        <v>0</v>
      </c>
      <c r="H53" s="433">
        <v>0</v>
      </c>
      <c r="I53" s="434">
        <f>H53/87</f>
        <v>0</v>
      </c>
      <c r="J53" s="330">
        <v>0</v>
      </c>
      <c r="K53" s="432">
        <v>0</v>
      </c>
      <c r="L53" s="330">
        <v>0</v>
      </c>
      <c r="M53" s="432">
        <v>0</v>
      </c>
      <c r="N53" s="330">
        <f>2+2+2+1</f>
        <v>7</v>
      </c>
      <c r="O53" s="432">
        <f>N53/78</f>
        <v>8.9743589743589744E-2</v>
      </c>
      <c r="P53" s="433">
        <v>0</v>
      </c>
      <c r="Q53" s="434">
        <f>P53/87</f>
        <v>0</v>
      </c>
    </row>
    <row r="54" spans="1:17" ht="18.75" thickBot="1">
      <c r="A54" s="431">
        <v>4</v>
      </c>
      <c r="B54" s="330">
        <v>24</v>
      </c>
      <c r="C54" s="432">
        <v>0.25531914893617019</v>
      </c>
      <c r="D54" s="330">
        <v>14</v>
      </c>
      <c r="E54" s="432">
        <v>0.1728395061728395</v>
      </c>
      <c r="F54" s="330">
        <f>3+0+3+1</f>
        <v>7</v>
      </c>
      <c r="G54" s="432">
        <f>F54/78</f>
        <v>8.9743589743589744E-2</v>
      </c>
      <c r="H54" s="433">
        <f>7</f>
        <v>7</v>
      </c>
      <c r="I54" s="434">
        <f t="shared" ref="I54:I55" si="11">H54/87</f>
        <v>8.0459770114942528E-2</v>
      </c>
      <c r="J54" s="330">
        <v>12</v>
      </c>
      <c r="K54" s="432">
        <v>0.1276595744680851</v>
      </c>
      <c r="L54" s="330">
        <v>4</v>
      </c>
      <c r="M54" s="432">
        <v>4.9382716049382713E-2</v>
      </c>
      <c r="N54" s="330">
        <f>4+0+1+1</f>
        <v>6</v>
      </c>
      <c r="O54" s="432">
        <f>N54/78</f>
        <v>7.6923076923076927E-2</v>
      </c>
      <c r="P54" s="433">
        <v>8</v>
      </c>
      <c r="Q54" s="434">
        <f t="shared" ref="Q54:Q55" si="12">P54/87</f>
        <v>9.1954022988505746E-2</v>
      </c>
    </row>
    <row r="55" spans="1:17" ht="18.75" thickBot="1">
      <c r="A55" s="431">
        <v>3</v>
      </c>
      <c r="B55" s="435">
        <v>46</v>
      </c>
      <c r="C55" s="436">
        <v>0.48936170212765956</v>
      </c>
      <c r="D55" s="435">
        <v>29</v>
      </c>
      <c r="E55" s="436">
        <v>0.35802469135802467</v>
      </c>
      <c r="F55" s="435">
        <f>14+7+6+6+1</f>
        <v>34</v>
      </c>
      <c r="G55" s="436">
        <f>F55/78</f>
        <v>0.4358974358974359</v>
      </c>
      <c r="H55" s="437">
        <f>4+4+4+5+2+0</f>
        <v>19</v>
      </c>
      <c r="I55" s="434">
        <f t="shared" si="11"/>
        <v>0.21839080459770116</v>
      </c>
      <c r="J55" s="435">
        <v>21</v>
      </c>
      <c r="K55" s="436">
        <v>0.22340425531914893</v>
      </c>
      <c r="L55" s="435">
        <v>15</v>
      </c>
      <c r="M55" s="436">
        <v>0.18518518518518517</v>
      </c>
      <c r="N55" s="435">
        <f>8+4+5+4</f>
        <v>21</v>
      </c>
      <c r="O55" s="436">
        <f>N55/78</f>
        <v>0.26923076923076922</v>
      </c>
      <c r="P55" s="437">
        <f>3+2+1+6+0+0</f>
        <v>12</v>
      </c>
      <c r="Q55" s="434">
        <f t="shared" si="12"/>
        <v>0.13793103448275862</v>
      </c>
    </row>
    <row r="56" spans="1:17" ht="18.75" thickBot="1">
      <c r="A56" s="431">
        <v>2</v>
      </c>
      <c r="B56" s="438">
        <v>22</v>
      </c>
      <c r="C56" s="439">
        <v>0.23404255319148937</v>
      </c>
      <c r="D56" s="438">
        <v>35</v>
      </c>
      <c r="E56" s="439">
        <v>0.43209876543209874</v>
      </c>
      <c r="F56" s="1202">
        <f>3+14+8+9+2</f>
        <v>36</v>
      </c>
      <c r="G56" s="439">
        <f>F56/78</f>
        <v>0.46153846153846156</v>
      </c>
      <c r="H56" s="440">
        <f>9+9+12+13+5+1</f>
        <v>49</v>
      </c>
      <c r="I56" s="441">
        <f>H56/87</f>
        <v>0.56321839080459768</v>
      </c>
      <c r="J56" s="438">
        <v>44</v>
      </c>
      <c r="K56" s="439">
        <v>0.46808510638297873</v>
      </c>
      <c r="L56" s="438">
        <v>31</v>
      </c>
      <c r="M56" s="439">
        <v>0.38271604938271603</v>
      </c>
      <c r="N56" s="1202">
        <f>6+12+9+9+2</f>
        <v>38</v>
      </c>
      <c r="O56" s="439">
        <f>N56/78</f>
        <v>0.48717948717948717</v>
      </c>
      <c r="P56" s="440">
        <f>7+9+13+8+1+1</f>
        <v>39</v>
      </c>
      <c r="Q56" s="441">
        <f>P56/87</f>
        <v>0.44827586206896552</v>
      </c>
    </row>
    <row r="57" spans="1:17" ht="18.75" thickBot="1">
      <c r="A57" s="431">
        <v>1</v>
      </c>
      <c r="B57" s="438">
        <v>0</v>
      </c>
      <c r="C57" s="439">
        <v>0</v>
      </c>
      <c r="D57" s="438">
        <v>1</v>
      </c>
      <c r="E57" s="439">
        <v>1.2345679012345678E-2</v>
      </c>
      <c r="F57" s="1202">
        <f>0+0+0+1</f>
        <v>1</v>
      </c>
      <c r="G57" s="439">
        <f>F57/78</f>
        <v>1.282051282051282E-2</v>
      </c>
      <c r="H57" s="440">
        <f>0+1+1+0+1+0</f>
        <v>3</v>
      </c>
      <c r="I57" s="441">
        <f>H57/87</f>
        <v>3.4482758620689655E-2</v>
      </c>
      <c r="J57" s="438">
        <v>17</v>
      </c>
      <c r="K57" s="439">
        <v>0.18085106382978725</v>
      </c>
      <c r="L57" s="438">
        <v>28</v>
      </c>
      <c r="M57" s="439">
        <v>0.34567901234567899</v>
      </c>
      <c r="N57" s="1202">
        <f>0+3+0+2+1</f>
        <v>6</v>
      </c>
      <c r="O57" s="439">
        <f>N57/78</f>
        <v>7.6923076923076927E-2</v>
      </c>
      <c r="P57" s="440">
        <f>2+4+2+4+7+0</f>
        <v>19</v>
      </c>
      <c r="Q57" s="441">
        <f>P57/87</f>
        <v>0.21839080459770116</v>
      </c>
    </row>
    <row r="58" spans="1:17" ht="18.75" thickBot="1">
      <c r="A58" s="431" t="s">
        <v>434</v>
      </c>
      <c r="B58" s="442">
        <v>0</v>
      </c>
      <c r="C58" s="443">
        <v>0</v>
      </c>
      <c r="D58" s="442">
        <v>0</v>
      </c>
      <c r="E58" s="443">
        <v>0</v>
      </c>
      <c r="F58" s="442">
        <v>0</v>
      </c>
      <c r="G58" s="443">
        <v>0</v>
      </c>
      <c r="H58" s="444">
        <v>9</v>
      </c>
      <c r="I58" s="176">
        <f>H58/87</f>
        <v>0.10344827586206896</v>
      </c>
      <c r="J58" s="442">
        <v>0</v>
      </c>
      <c r="K58" s="443">
        <v>0</v>
      </c>
      <c r="L58" s="442">
        <v>3</v>
      </c>
      <c r="M58" s="443">
        <v>3.7037037037037035E-2</v>
      </c>
      <c r="N58" s="442">
        <v>0</v>
      </c>
      <c r="O58" s="443">
        <v>0</v>
      </c>
      <c r="P58" s="444">
        <v>9</v>
      </c>
      <c r="Q58" s="176">
        <f>P58/87</f>
        <v>0.10344827586206896</v>
      </c>
    </row>
    <row r="59" spans="1:17" ht="15">
      <c r="A59" s="453"/>
      <c r="B59" s="453">
        <f>SUM(B53:B58)</f>
        <v>94</v>
      </c>
      <c r="C59" s="454">
        <f>SUM(C53:C58)</f>
        <v>1</v>
      </c>
      <c r="D59" s="453"/>
      <c r="E59" s="453"/>
      <c r="F59" s="1217"/>
      <c r="G59" s="453"/>
      <c r="H59" s="1216"/>
      <c r="I59" s="455"/>
      <c r="J59" s="456"/>
      <c r="K59" s="454"/>
      <c r="L59" s="453"/>
      <c r="M59" s="453"/>
      <c r="N59" s="81"/>
      <c r="O59" s="454"/>
    </row>
    <row r="60" spans="1:17">
      <c r="F60" s="1109"/>
      <c r="K60" s="19">
        <f>K54+K55</f>
        <v>0.35106382978723405</v>
      </c>
      <c r="M60" s="19">
        <f>M54+M55</f>
        <v>0.23456790123456789</v>
      </c>
      <c r="O60" s="19">
        <f>O53+O54+O55</f>
        <v>0.4358974358974359</v>
      </c>
      <c r="Q60" s="19">
        <f>Q54+Q55</f>
        <v>0.22988505747126436</v>
      </c>
    </row>
  </sheetData>
  <mergeCells count="52">
    <mergeCell ref="A1:Q1"/>
    <mergeCell ref="N51:O51"/>
    <mergeCell ref="A50:A52"/>
    <mergeCell ref="L51:M51"/>
    <mergeCell ref="B51:C51"/>
    <mergeCell ref="D51:E51"/>
    <mergeCell ref="F51:G51"/>
    <mergeCell ref="J51:K51"/>
    <mergeCell ref="E35:E37"/>
    <mergeCell ref="A47:O47"/>
    <mergeCell ref="H36:I36"/>
    <mergeCell ref="F36:G36"/>
    <mergeCell ref="F35:I35"/>
    <mergeCell ref="J35:M35"/>
    <mergeCell ref="N21:O21"/>
    <mergeCell ref="A20:A22"/>
    <mergeCell ref="P5:Q5"/>
    <mergeCell ref="J4:Q4"/>
    <mergeCell ref="B3:Q3"/>
    <mergeCell ref="B2:Q2"/>
    <mergeCell ref="A4:A6"/>
    <mergeCell ref="B5:C5"/>
    <mergeCell ref="N5:O5"/>
    <mergeCell ref="D5:E5"/>
    <mergeCell ref="F5:G5"/>
    <mergeCell ref="J5:K5"/>
    <mergeCell ref="L5:M5"/>
    <mergeCell ref="B4:I4"/>
    <mergeCell ref="H5:I5"/>
    <mergeCell ref="E32:M32"/>
    <mergeCell ref="F33:M33"/>
    <mergeCell ref="E34:M34"/>
    <mergeCell ref="J36:K36"/>
    <mergeCell ref="A17:Q17"/>
    <mergeCell ref="P21:Q21"/>
    <mergeCell ref="J20:Q20"/>
    <mergeCell ref="B19:Q19"/>
    <mergeCell ref="B18:Q18"/>
    <mergeCell ref="B21:C21"/>
    <mergeCell ref="D21:E21"/>
    <mergeCell ref="F21:G21"/>
    <mergeCell ref="J21:K21"/>
    <mergeCell ref="L21:M21"/>
    <mergeCell ref="H21:I21"/>
    <mergeCell ref="B20:I20"/>
    <mergeCell ref="L36:M36"/>
    <mergeCell ref="H51:I51"/>
    <mergeCell ref="P51:Q51"/>
    <mergeCell ref="B50:I50"/>
    <mergeCell ref="J50:Q50"/>
    <mergeCell ref="B49:Q49"/>
    <mergeCell ref="B48:Q48"/>
  </mergeCells>
  <phoneticPr fontId="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U46"/>
  <sheetViews>
    <sheetView showGridLines="0" zoomScalePageLayoutView="60" workbookViewId="0">
      <selection activeCell="A34" sqref="A34"/>
    </sheetView>
  </sheetViews>
  <sheetFormatPr defaultRowHeight="12.75"/>
  <cols>
    <col min="1" max="2" width="7.85546875" customWidth="1"/>
    <col min="3" max="12" width="8" customWidth="1"/>
    <col min="13" max="14" width="11.140625" customWidth="1"/>
  </cols>
  <sheetData>
    <row r="1" spans="1:20" ht="12.75" customHeight="1">
      <c r="A1" s="1277" t="s">
        <v>114</v>
      </c>
      <c r="B1" s="1277"/>
      <c r="C1" s="1277"/>
      <c r="D1" s="1277"/>
      <c r="E1" s="1277"/>
      <c r="F1" s="1277"/>
      <c r="G1" s="1277"/>
      <c r="H1" s="1277"/>
      <c r="I1" s="1277"/>
      <c r="J1" s="1277"/>
      <c r="K1" s="1277"/>
      <c r="L1" s="1277"/>
    </row>
    <row r="2" spans="1:20" ht="12.75" customHeight="1">
      <c r="A2" s="1277"/>
      <c r="B2" s="1277"/>
      <c r="C2" s="1277"/>
      <c r="D2" s="1277"/>
      <c r="E2" s="1277"/>
      <c r="F2" s="1277"/>
      <c r="G2" s="1277"/>
      <c r="H2" s="1277"/>
      <c r="I2" s="1277"/>
      <c r="J2" s="1277"/>
      <c r="K2" s="1277"/>
      <c r="L2" s="1277"/>
    </row>
    <row r="3" spans="1:20" ht="12.75" customHeight="1">
      <c r="A3" s="1277" t="s">
        <v>491</v>
      </c>
      <c r="B3" s="1277"/>
      <c r="C3" s="1277"/>
      <c r="D3" s="1277"/>
      <c r="E3" s="1277"/>
      <c r="F3" s="1277"/>
      <c r="G3" s="1277"/>
      <c r="H3" s="1277"/>
      <c r="I3" s="1277"/>
      <c r="J3" s="1277"/>
      <c r="K3" s="1277"/>
      <c r="L3" s="1277"/>
    </row>
    <row r="4" spans="1:20" ht="12.75" customHeight="1">
      <c r="A4" s="1277"/>
      <c r="B4" s="1277"/>
      <c r="C4" s="1277"/>
      <c r="D4" s="1277"/>
      <c r="E4" s="1277"/>
      <c r="F4" s="1277"/>
      <c r="G4" s="1277"/>
      <c r="H4" s="1277"/>
      <c r="I4" s="1277"/>
      <c r="J4" s="1277"/>
      <c r="K4" s="1277"/>
      <c r="L4" s="1277"/>
    </row>
    <row r="5" spans="1:20" ht="19.5" thickBot="1">
      <c r="A5" s="103"/>
      <c r="B5" s="103"/>
      <c r="C5" s="104"/>
      <c r="D5" s="104"/>
      <c r="E5" s="104"/>
      <c r="F5" s="104"/>
      <c r="G5" s="104"/>
      <c r="H5" s="104"/>
      <c r="I5" s="104"/>
      <c r="J5" s="104"/>
      <c r="K5" s="104"/>
      <c r="L5" s="104"/>
    </row>
    <row r="6" spans="1:20" ht="15.75" customHeight="1" thickBot="1">
      <c r="A6" s="83"/>
      <c r="B6" s="105" t="s">
        <v>7</v>
      </c>
      <c r="C6" s="1279" t="s">
        <v>94</v>
      </c>
      <c r="D6" s="1289"/>
      <c r="E6" s="1290" t="s">
        <v>95</v>
      </c>
      <c r="F6" s="1289"/>
      <c r="G6" s="1290" t="s">
        <v>96</v>
      </c>
      <c r="H6" s="1289"/>
      <c r="I6" s="1290" t="s">
        <v>532</v>
      </c>
      <c r="J6" s="1289"/>
      <c r="K6" s="1290" t="s">
        <v>533</v>
      </c>
      <c r="L6" s="1289"/>
      <c r="M6" s="1283"/>
      <c r="N6" s="1283"/>
    </row>
    <row r="7" spans="1:20" ht="14.25" customHeight="1" thickBot="1">
      <c r="A7" s="106" t="s">
        <v>26</v>
      </c>
      <c r="B7" s="106" t="s">
        <v>19</v>
      </c>
      <c r="C7" s="85" t="s">
        <v>18</v>
      </c>
      <c r="D7" s="85" t="s">
        <v>17</v>
      </c>
      <c r="E7" s="85" t="s">
        <v>18</v>
      </c>
      <c r="F7" s="85" t="s">
        <v>17</v>
      </c>
      <c r="G7" s="85" t="s">
        <v>18</v>
      </c>
      <c r="H7" s="85" t="s">
        <v>17</v>
      </c>
      <c r="I7" s="85" t="s">
        <v>18</v>
      </c>
      <c r="J7" s="85" t="s">
        <v>17</v>
      </c>
      <c r="K7" s="85" t="s">
        <v>18</v>
      </c>
      <c r="L7" s="85" t="s">
        <v>17</v>
      </c>
      <c r="M7" s="1283"/>
      <c r="N7" s="1283"/>
    </row>
    <row r="8" spans="1:20" ht="15" thickBot="1">
      <c r="A8" s="84"/>
      <c r="B8" s="107" t="s">
        <v>16</v>
      </c>
      <c r="C8" s="90" t="s">
        <v>323</v>
      </c>
      <c r="D8" s="90" t="s">
        <v>324</v>
      </c>
      <c r="E8" s="90" t="s">
        <v>323</v>
      </c>
      <c r="F8" s="90" t="s">
        <v>324</v>
      </c>
      <c r="G8" s="90" t="s">
        <v>323</v>
      </c>
      <c r="H8" s="90" t="s">
        <v>324</v>
      </c>
      <c r="I8" s="90" t="s">
        <v>323</v>
      </c>
      <c r="J8" s="90" t="s">
        <v>324</v>
      </c>
      <c r="K8" s="90" t="s">
        <v>323</v>
      </c>
      <c r="L8" s="90" t="s">
        <v>324</v>
      </c>
      <c r="M8" s="1283"/>
      <c r="N8" s="1283"/>
    </row>
    <row r="9" spans="1:20" ht="18.75" thickBot="1">
      <c r="A9" s="88" t="s">
        <v>97</v>
      </c>
      <c r="B9" s="89">
        <v>19</v>
      </c>
      <c r="C9" s="93">
        <v>15</v>
      </c>
      <c r="D9" s="94">
        <f>(C9/B9)</f>
        <v>0.78947368421052633</v>
      </c>
      <c r="E9" s="93">
        <v>11</v>
      </c>
      <c r="F9" s="94">
        <f>(E9/B9)</f>
        <v>0.57894736842105265</v>
      </c>
      <c r="G9" s="93">
        <v>17</v>
      </c>
      <c r="H9" s="94">
        <f>(G9/B9)</f>
        <v>0.89473684210526316</v>
      </c>
      <c r="I9" s="93">
        <v>19</v>
      </c>
      <c r="J9" s="94">
        <f>(I9/B9)</f>
        <v>1</v>
      </c>
      <c r="K9" s="93">
        <v>19</v>
      </c>
      <c r="L9" s="94">
        <f>(K9/B9)</f>
        <v>1</v>
      </c>
      <c r="M9" s="834"/>
      <c r="N9" s="835"/>
    </row>
    <row r="10" spans="1:20" ht="18.75" thickBot="1">
      <c r="A10" s="88" t="s">
        <v>98</v>
      </c>
      <c r="B10" s="89">
        <v>26</v>
      </c>
      <c r="C10" s="93">
        <v>21</v>
      </c>
      <c r="D10" s="94">
        <f>(C10/B10)</f>
        <v>0.80769230769230771</v>
      </c>
      <c r="E10" s="93">
        <v>21</v>
      </c>
      <c r="F10" s="94">
        <f>(E10/B10)</f>
        <v>0.80769230769230771</v>
      </c>
      <c r="G10" s="93">
        <v>25</v>
      </c>
      <c r="H10" s="94">
        <f>(G10/B10)</f>
        <v>0.96153846153846156</v>
      </c>
      <c r="I10" s="93">
        <v>25</v>
      </c>
      <c r="J10" s="94">
        <f>(I10/B10)</f>
        <v>0.96153846153846156</v>
      </c>
      <c r="K10" s="93">
        <v>25</v>
      </c>
      <c r="L10" s="94">
        <f>(K10/B10)</f>
        <v>0.96153846153846156</v>
      </c>
      <c r="M10" s="834"/>
      <c r="N10" s="835"/>
    </row>
    <row r="11" spans="1:20" ht="18.75" thickBot="1">
      <c r="A11" s="88" t="s">
        <v>99</v>
      </c>
      <c r="B11" s="1036">
        <v>24</v>
      </c>
      <c r="C11" s="93">
        <v>19</v>
      </c>
      <c r="D11" s="94">
        <f>(C11/B11)</f>
        <v>0.79166666666666663</v>
      </c>
      <c r="E11" s="93">
        <v>16</v>
      </c>
      <c r="F11" s="94">
        <f>(E11/B11)</f>
        <v>0.66666666666666663</v>
      </c>
      <c r="G11" s="93">
        <v>24</v>
      </c>
      <c r="H11" s="94">
        <f>(G11/B11)</f>
        <v>1</v>
      </c>
      <c r="I11" s="93">
        <v>22</v>
      </c>
      <c r="J11" s="807">
        <f>(I11/B11)</f>
        <v>0.91666666666666663</v>
      </c>
      <c r="K11" s="93">
        <v>24</v>
      </c>
      <c r="L11" s="94">
        <f>(K11/B11)</f>
        <v>1</v>
      </c>
      <c r="M11" s="834"/>
      <c r="N11" s="835"/>
    </row>
    <row r="12" spans="1:20" ht="17.25" thickBot="1">
      <c r="A12" s="86" t="s">
        <v>0</v>
      </c>
      <c r="B12" s="87">
        <f>SUM(B9:B11)</f>
        <v>69</v>
      </c>
      <c r="C12" s="91">
        <f>SUM(C9:C11)</f>
        <v>55</v>
      </c>
      <c r="D12" s="92">
        <f>(C12/B12)</f>
        <v>0.79710144927536231</v>
      </c>
      <c r="E12" s="87">
        <f>SUM(E9:E11)</f>
        <v>48</v>
      </c>
      <c r="F12" s="92">
        <f>(E12/B12)</f>
        <v>0.69565217391304346</v>
      </c>
      <c r="G12" s="87">
        <f>SUM(G9:G11)</f>
        <v>66</v>
      </c>
      <c r="H12" s="92">
        <f>(G12/B12)</f>
        <v>0.95652173913043481</v>
      </c>
      <c r="I12" s="87">
        <f>SUM(I9:I11)</f>
        <v>66</v>
      </c>
      <c r="J12" s="92">
        <f>(I12/B12)</f>
        <v>0.95652173913043481</v>
      </c>
      <c r="K12" s="91">
        <f>SUM(K9:K11)</f>
        <v>68</v>
      </c>
      <c r="L12" s="92">
        <f>(K12/B12)</f>
        <v>0.98550724637681164</v>
      </c>
      <c r="M12" s="836"/>
      <c r="N12" s="837"/>
      <c r="O12" s="191"/>
      <c r="P12" s="191"/>
      <c r="Q12" s="191"/>
      <c r="R12" s="191"/>
      <c r="S12" s="191"/>
      <c r="T12" s="191"/>
    </row>
    <row r="14" spans="1:20" ht="13.5" thickBot="1"/>
    <row r="15" spans="1:20" ht="16.5" customHeight="1" thickBot="1">
      <c r="B15" s="1270" t="s">
        <v>545</v>
      </c>
      <c r="C15" s="1271"/>
      <c r="D15" s="1272"/>
      <c r="E15" s="1273" t="s">
        <v>549</v>
      </c>
      <c r="F15" s="1274"/>
      <c r="G15" s="1275"/>
      <c r="H15" s="1273" t="s">
        <v>547</v>
      </c>
      <c r="I15" s="1274"/>
      <c r="J15" s="1275"/>
      <c r="K15" s="1273" t="s">
        <v>548</v>
      </c>
      <c r="L15" s="1274"/>
      <c r="M15" s="1275"/>
      <c r="N15" s="1273" t="s">
        <v>283</v>
      </c>
      <c r="O15" s="1274"/>
      <c r="P15" s="1275"/>
    </row>
    <row r="16" spans="1:20" ht="12.75" customHeight="1" thickBot="1">
      <c r="A16" s="258"/>
      <c r="B16" s="1262" t="s">
        <v>546</v>
      </c>
      <c r="C16" s="1263"/>
      <c r="D16" s="1240" t="s">
        <v>147</v>
      </c>
      <c r="E16" s="1266" t="s">
        <v>546</v>
      </c>
      <c r="F16" s="1267"/>
      <c r="G16" s="1241" t="s">
        <v>147</v>
      </c>
      <c r="H16" s="1266" t="s">
        <v>546</v>
      </c>
      <c r="I16" s="1267"/>
      <c r="J16" s="1241" t="s">
        <v>147</v>
      </c>
      <c r="K16" s="1258" t="s">
        <v>546</v>
      </c>
      <c r="L16" s="1259"/>
      <c r="M16" s="1241" t="s">
        <v>147</v>
      </c>
      <c r="N16" s="1258" t="s">
        <v>546</v>
      </c>
      <c r="O16" s="1259"/>
      <c r="P16" s="1241" t="s">
        <v>147</v>
      </c>
    </row>
    <row r="17" spans="1:21" ht="12.75" customHeight="1" thickBot="1">
      <c r="A17" s="259"/>
      <c r="B17" s="1264"/>
      <c r="C17" s="1265"/>
      <c r="D17" s="1242"/>
      <c r="E17" s="1268"/>
      <c r="F17" s="1269"/>
      <c r="G17" s="1242"/>
      <c r="H17" s="1268"/>
      <c r="I17" s="1269"/>
      <c r="J17" s="1242"/>
      <c r="K17" s="1260"/>
      <c r="L17" s="1261"/>
      <c r="M17" s="1242"/>
      <c r="N17" s="1260"/>
      <c r="O17" s="1261"/>
      <c r="P17" s="1242"/>
    </row>
    <row r="18" spans="1:21" ht="16.5" thickBot="1">
      <c r="A18" s="829" t="s">
        <v>97</v>
      </c>
      <c r="B18" s="1250">
        <v>0</v>
      </c>
      <c r="C18" s="1251"/>
      <c r="D18" s="414">
        <f>B18/B9</f>
        <v>0</v>
      </c>
      <c r="E18" s="1256">
        <v>0</v>
      </c>
      <c r="F18" s="1257"/>
      <c r="G18" s="414">
        <f>E18/B9</f>
        <v>0</v>
      </c>
      <c r="H18" s="1256">
        <v>12</v>
      </c>
      <c r="I18" s="1257"/>
      <c r="J18" s="414">
        <f>H18/B9</f>
        <v>0.63157894736842102</v>
      </c>
      <c r="K18" s="1256">
        <v>11</v>
      </c>
      <c r="L18" s="1257"/>
      <c r="M18" s="414">
        <f>K18/B9</f>
        <v>0.57894736842105265</v>
      </c>
      <c r="N18" s="1254">
        <v>15</v>
      </c>
      <c r="O18" s="1255"/>
      <c r="P18" s="414">
        <f>N18/B9</f>
        <v>0.78947368421052633</v>
      </c>
    </row>
    <row r="19" spans="1:21" ht="15.75" customHeight="1" thickBot="1">
      <c r="A19" s="829" t="s">
        <v>98</v>
      </c>
      <c r="B19" s="1250">
        <v>0</v>
      </c>
      <c r="C19" s="1251"/>
      <c r="D19" s="414">
        <f>B19/B10</f>
        <v>0</v>
      </c>
      <c r="E19" s="1252">
        <v>0</v>
      </c>
      <c r="F19" s="1253"/>
      <c r="G19" s="414">
        <f>E19/B10</f>
        <v>0</v>
      </c>
      <c r="H19" s="1252">
        <v>9</v>
      </c>
      <c r="I19" s="1253"/>
      <c r="J19" s="414">
        <f t="shared" ref="J19:J21" si="0">H19/B10</f>
        <v>0.34615384615384615</v>
      </c>
      <c r="K19" s="1252">
        <v>16</v>
      </c>
      <c r="L19" s="1253"/>
      <c r="M19" s="414">
        <f t="shared" ref="M19:M21" si="1">K19/B10</f>
        <v>0.61538461538461542</v>
      </c>
      <c r="N19" s="1254">
        <v>16</v>
      </c>
      <c r="O19" s="1255"/>
      <c r="P19" s="414">
        <f t="shared" ref="P19:P21" si="2">N19/B10</f>
        <v>0.61538461538461542</v>
      </c>
    </row>
    <row r="20" spans="1:21" ht="14.25" customHeight="1" thickBot="1">
      <c r="A20" s="829" t="s">
        <v>99</v>
      </c>
      <c r="B20" s="1250">
        <v>0</v>
      </c>
      <c r="C20" s="1251"/>
      <c r="D20" s="414">
        <f>B20/B11</f>
        <v>0</v>
      </c>
      <c r="E20" s="1252">
        <v>0</v>
      </c>
      <c r="F20" s="1253"/>
      <c r="G20" s="414">
        <f>E20/B11</f>
        <v>0</v>
      </c>
      <c r="H20" s="1252">
        <v>13</v>
      </c>
      <c r="I20" s="1253"/>
      <c r="J20" s="414">
        <f t="shared" si="0"/>
        <v>0.54166666666666663</v>
      </c>
      <c r="K20" s="1252">
        <v>14</v>
      </c>
      <c r="L20" s="1253"/>
      <c r="M20" s="414">
        <f t="shared" si="1"/>
        <v>0.58333333333333337</v>
      </c>
      <c r="N20" s="1254">
        <v>21</v>
      </c>
      <c r="O20" s="1255"/>
      <c r="P20" s="414">
        <f t="shared" si="2"/>
        <v>0.875</v>
      </c>
    </row>
    <row r="21" spans="1:21" ht="15.75" customHeight="1" thickBot="1">
      <c r="A21" s="257" t="s">
        <v>0</v>
      </c>
      <c r="B21" s="1246">
        <f>SUM(B18:B20)</f>
        <v>0</v>
      </c>
      <c r="C21" s="1247"/>
      <c r="D21" s="194">
        <f>B21/B12</f>
        <v>0</v>
      </c>
      <c r="E21" s="1246">
        <f>SUM(E18:F20)</f>
        <v>0</v>
      </c>
      <c r="F21" s="1247"/>
      <c r="G21" s="802">
        <f>E21/B12</f>
        <v>0</v>
      </c>
      <c r="H21" s="1284">
        <f>SUM(H18:I20)</f>
        <v>34</v>
      </c>
      <c r="I21" s="1285"/>
      <c r="J21" s="802">
        <f t="shared" si="0"/>
        <v>0.49275362318840582</v>
      </c>
      <c r="K21" s="1286">
        <f>SUM(K18:K20)</f>
        <v>41</v>
      </c>
      <c r="L21" s="1287"/>
      <c r="M21" s="802">
        <f t="shared" si="1"/>
        <v>0.59420289855072461</v>
      </c>
      <c r="N21" s="1288">
        <f>SUM(N18:O20)</f>
        <v>52</v>
      </c>
      <c r="O21" s="1287"/>
      <c r="P21" s="802">
        <f t="shared" si="2"/>
        <v>0.75362318840579712</v>
      </c>
    </row>
    <row r="22" spans="1:21">
      <c r="A22" t="s">
        <v>15</v>
      </c>
      <c r="B22" s="32"/>
      <c r="C22" s="1109"/>
      <c r="D22" s="1109"/>
      <c r="E22" s="1109"/>
      <c r="F22" s="1109"/>
      <c r="G22" s="1109"/>
      <c r="H22" s="1109"/>
      <c r="I22" s="1109"/>
      <c r="J22" s="1109"/>
      <c r="K22" s="1109"/>
      <c r="L22" s="1109"/>
    </row>
    <row r="25" spans="1:21" ht="15" customHeight="1">
      <c r="A25" s="1277" t="s">
        <v>490</v>
      </c>
      <c r="B25" s="1277"/>
      <c r="C25" s="1277"/>
      <c r="D25" s="1277"/>
      <c r="E25" s="1277"/>
      <c r="F25" s="1277"/>
      <c r="G25" s="1277"/>
      <c r="H25" s="1277"/>
      <c r="I25" s="1277"/>
      <c r="J25" s="1277"/>
      <c r="K25" s="1277"/>
      <c r="L25" s="1277"/>
    </row>
    <row r="26" spans="1:21" ht="14.25" customHeight="1">
      <c r="A26" s="1277"/>
      <c r="B26" s="1277"/>
      <c r="C26" s="1277"/>
      <c r="D26" s="1277"/>
      <c r="E26" s="1277"/>
      <c r="F26" s="1277"/>
      <c r="G26" s="1277"/>
      <c r="H26" s="1277"/>
      <c r="I26" s="1277"/>
      <c r="J26" s="1277"/>
      <c r="K26" s="1277"/>
      <c r="L26" s="1277"/>
    </row>
    <row r="27" spans="1:21" ht="13.5" thickBot="1"/>
    <row r="28" spans="1:21" ht="15.75" customHeight="1" thickBot="1">
      <c r="A28" s="83"/>
      <c r="B28" s="105" t="s">
        <v>7</v>
      </c>
      <c r="C28" s="1279" t="s">
        <v>94</v>
      </c>
      <c r="D28" s="1289"/>
      <c r="E28" s="1290" t="s">
        <v>95</v>
      </c>
      <c r="F28" s="1289"/>
      <c r="G28" s="1290" t="s">
        <v>96</v>
      </c>
      <c r="H28" s="1289"/>
      <c r="I28" s="1290" t="s">
        <v>532</v>
      </c>
      <c r="J28" s="1289"/>
      <c r="K28" s="1290" t="s">
        <v>533</v>
      </c>
      <c r="L28" s="1289"/>
      <c r="M28" s="1283"/>
      <c r="N28" s="1283"/>
      <c r="Q28" s="132"/>
      <c r="R28" s="132"/>
      <c r="S28" s="132"/>
      <c r="T28" s="1130"/>
      <c r="U28" s="1128"/>
    </row>
    <row r="29" spans="1:21" ht="14.25" thickBot="1">
      <c r="A29" s="106" t="s">
        <v>26</v>
      </c>
      <c r="B29" s="106" t="s">
        <v>19</v>
      </c>
      <c r="C29" s="85" t="s">
        <v>18</v>
      </c>
      <c r="D29" s="85" t="s">
        <v>17</v>
      </c>
      <c r="E29" s="85" t="s">
        <v>18</v>
      </c>
      <c r="F29" s="85" t="s">
        <v>17</v>
      </c>
      <c r="G29" s="85" t="s">
        <v>18</v>
      </c>
      <c r="H29" s="85" t="s">
        <v>17</v>
      </c>
      <c r="I29" s="85" t="s">
        <v>18</v>
      </c>
      <c r="J29" s="85" t="s">
        <v>17</v>
      </c>
      <c r="K29" s="85" t="s">
        <v>18</v>
      </c>
      <c r="L29" s="85" t="s">
        <v>17</v>
      </c>
      <c r="M29" s="1283"/>
      <c r="N29" s="1283"/>
      <c r="Q29" s="19"/>
      <c r="R29" s="19"/>
      <c r="S29" s="19"/>
      <c r="T29" s="19"/>
      <c r="U29" s="19"/>
    </row>
    <row r="30" spans="1:21" ht="15" thickBot="1">
      <c r="A30" s="84"/>
      <c r="B30" s="107" t="s">
        <v>16</v>
      </c>
      <c r="C30" s="90" t="s">
        <v>323</v>
      </c>
      <c r="D30" s="90" t="s">
        <v>324</v>
      </c>
      <c r="E30" s="90" t="s">
        <v>323</v>
      </c>
      <c r="F30" s="90" t="s">
        <v>324</v>
      </c>
      <c r="G30" s="90" t="s">
        <v>323</v>
      </c>
      <c r="H30" s="90" t="s">
        <v>324</v>
      </c>
      <c r="I30" s="90" t="s">
        <v>323</v>
      </c>
      <c r="J30" s="90" t="s">
        <v>324</v>
      </c>
      <c r="K30" s="90" t="s">
        <v>323</v>
      </c>
      <c r="L30" s="90" t="s">
        <v>324</v>
      </c>
      <c r="M30" s="1283"/>
      <c r="N30" s="1283"/>
    </row>
    <row r="31" spans="1:21" ht="18.75" thickBot="1">
      <c r="A31" s="88" t="s">
        <v>97</v>
      </c>
      <c r="B31" s="89">
        <v>25</v>
      </c>
      <c r="C31" s="93">
        <v>20</v>
      </c>
      <c r="D31" s="94">
        <f>(C31/B31)</f>
        <v>0.8</v>
      </c>
      <c r="E31" s="93">
        <v>21</v>
      </c>
      <c r="F31" s="94">
        <f>(E31/B31)</f>
        <v>0.84</v>
      </c>
      <c r="G31" s="93">
        <v>22</v>
      </c>
      <c r="H31" s="94">
        <f>(G31/B31)</f>
        <v>0.88</v>
      </c>
      <c r="I31" s="93">
        <v>25</v>
      </c>
      <c r="J31" s="94">
        <f>(I31/B31)</f>
        <v>1</v>
      </c>
      <c r="K31" s="93">
        <v>25</v>
      </c>
      <c r="L31" s="94">
        <f>(K31/B31)</f>
        <v>1</v>
      </c>
      <c r="M31" s="834"/>
      <c r="N31" s="835"/>
    </row>
    <row r="32" spans="1:21" ht="18.75" thickBot="1">
      <c r="A32" s="88" t="s">
        <v>98</v>
      </c>
      <c r="B32" s="1036">
        <v>22</v>
      </c>
      <c r="C32" s="93">
        <v>17</v>
      </c>
      <c r="D32" s="94">
        <f>(C32/B32)</f>
        <v>0.77272727272727271</v>
      </c>
      <c r="E32" s="93">
        <v>15</v>
      </c>
      <c r="F32" s="94">
        <f>(E32/B32)</f>
        <v>0.68181818181818177</v>
      </c>
      <c r="G32" s="93">
        <v>21</v>
      </c>
      <c r="H32" s="94">
        <f>(G32/B32)</f>
        <v>0.95454545454545459</v>
      </c>
      <c r="I32" s="93">
        <v>19</v>
      </c>
      <c r="J32" s="94">
        <f>(I32/B32)</f>
        <v>0.86363636363636365</v>
      </c>
      <c r="K32" s="93">
        <v>22</v>
      </c>
      <c r="L32" s="94">
        <f>(K32/B32)</f>
        <v>1</v>
      </c>
      <c r="M32" s="834"/>
      <c r="N32" s="835"/>
    </row>
    <row r="33" spans="1:16" ht="18.75" thickBot="1">
      <c r="A33" s="88" t="s">
        <v>99</v>
      </c>
      <c r="B33" s="1036">
        <v>10</v>
      </c>
      <c r="C33" s="93">
        <v>6</v>
      </c>
      <c r="D33" s="94">
        <f>(C33/B33)</f>
        <v>0.6</v>
      </c>
      <c r="E33" s="93">
        <v>7</v>
      </c>
      <c r="F33" s="94">
        <f>(E33/B33)</f>
        <v>0.7</v>
      </c>
      <c r="G33" s="93">
        <v>6</v>
      </c>
      <c r="H33" s="94">
        <f>(G33/B33)</f>
        <v>0.6</v>
      </c>
      <c r="I33" s="93">
        <v>9</v>
      </c>
      <c r="J33" s="94">
        <f>(I33/B33)</f>
        <v>0.9</v>
      </c>
      <c r="K33" s="93">
        <v>9</v>
      </c>
      <c r="L33" s="94">
        <f>(K33/B33)</f>
        <v>0.9</v>
      </c>
      <c r="M33" s="834"/>
      <c r="N33" s="835"/>
    </row>
    <row r="34" spans="1:16" ht="17.25" thickBot="1">
      <c r="A34" s="86" t="s">
        <v>0</v>
      </c>
      <c r="B34" s="87">
        <f>SUM(B31:B33)</f>
        <v>57</v>
      </c>
      <c r="C34" s="91">
        <f>SUM(C31:C33)</f>
        <v>43</v>
      </c>
      <c r="D34" s="92">
        <f>(C34/B34)</f>
        <v>0.75438596491228072</v>
      </c>
      <c r="E34" s="87">
        <f>SUM(E31:E33)</f>
        <v>43</v>
      </c>
      <c r="F34" s="92">
        <f>(E34/B34)</f>
        <v>0.75438596491228072</v>
      </c>
      <c r="G34" s="87">
        <f>SUM(G31:G33)</f>
        <v>49</v>
      </c>
      <c r="H34" s="92">
        <f>(G34/B34)</f>
        <v>0.85964912280701755</v>
      </c>
      <c r="I34" s="87">
        <f>SUM(I31:I33)</f>
        <v>53</v>
      </c>
      <c r="J34" s="92">
        <f>(I34/B34)</f>
        <v>0.92982456140350878</v>
      </c>
      <c r="K34" s="91">
        <f>SUM(K31:K33)</f>
        <v>56</v>
      </c>
      <c r="L34" s="92">
        <f>(K34/B34)</f>
        <v>0.98245614035087714</v>
      </c>
      <c r="M34" s="836"/>
      <c r="N34" s="837"/>
    </row>
    <row r="36" spans="1:16" ht="13.5" thickBot="1"/>
    <row r="37" spans="1:16" ht="16.5" customHeight="1" thickBot="1">
      <c r="B37" s="1270" t="s">
        <v>545</v>
      </c>
      <c r="C37" s="1271"/>
      <c r="D37" s="1272"/>
      <c r="E37" s="1273" t="s">
        <v>549</v>
      </c>
      <c r="F37" s="1274"/>
      <c r="G37" s="1275"/>
      <c r="H37" s="1273" t="s">
        <v>547</v>
      </c>
      <c r="I37" s="1274"/>
      <c r="J37" s="1275"/>
      <c r="K37" s="1273" t="s">
        <v>548</v>
      </c>
      <c r="L37" s="1274"/>
      <c r="M37" s="1275"/>
      <c r="N37" s="1273" t="s">
        <v>283</v>
      </c>
      <c r="O37" s="1274"/>
      <c r="P37" s="1275"/>
    </row>
    <row r="38" spans="1:16" ht="15.75" customHeight="1" thickBot="1">
      <c r="A38" s="258"/>
      <c r="B38" s="1262" t="s">
        <v>546</v>
      </c>
      <c r="C38" s="1263"/>
      <c r="D38" s="1240" t="s">
        <v>147</v>
      </c>
      <c r="E38" s="1266" t="s">
        <v>546</v>
      </c>
      <c r="F38" s="1267"/>
      <c r="G38" s="1241" t="s">
        <v>147</v>
      </c>
      <c r="H38" s="1266" t="s">
        <v>546</v>
      </c>
      <c r="I38" s="1267"/>
      <c r="J38" s="1241" t="s">
        <v>147</v>
      </c>
      <c r="K38" s="1258" t="s">
        <v>546</v>
      </c>
      <c r="L38" s="1259"/>
      <c r="M38" s="1241" t="s">
        <v>147</v>
      </c>
      <c r="N38" s="1258" t="s">
        <v>546</v>
      </c>
      <c r="O38" s="1259"/>
      <c r="P38" s="1241" t="s">
        <v>147</v>
      </c>
    </row>
    <row r="39" spans="1:16" ht="13.5" thickBot="1">
      <c r="A39" s="259"/>
      <c r="B39" s="1264"/>
      <c r="C39" s="1265"/>
      <c r="D39" s="1242"/>
      <c r="E39" s="1268"/>
      <c r="F39" s="1269"/>
      <c r="G39" s="1242"/>
      <c r="H39" s="1268"/>
      <c r="I39" s="1269"/>
      <c r="J39" s="1242"/>
      <c r="K39" s="1260"/>
      <c r="L39" s="1261"/>
      <c r="M39" s="1242"/>
      <c r="N39" s="1260"/>
      <c r="O39" s="1261"/>
      <c r="P39" s="1242"/>
    </row>
    <row r="40" spans="1:16" ht="16.5" thickBot="1">
      <c r="A40" s="829" t="s">
        <v>97</v>
      </c>
      <c r="B40" s="1250">
        <v>0</v>
      </c>
      <c r="C40" s="1251"/>
      <c r="D40" s="414">
        <f>B40/B31</f>
        <v>0</v>
      </c>
      <c r="E40" s="1256">
        <v>0</v>
      </c>
      <c r="F40" s="1257"/>
      <c r="G40" s="414">
        <f>E40/E31</f>
        <v>0</v>
      </c>
      <c r="H40" s="1256">
        <v>7</v>
      </c>
      <c r="I40" s="1257"/>
      <c r="J40" s="414">
        <f>H40/B31</f>
        <v>0.28000000000000003</v>
      </c>
      <c r="K40" s="1256">
        <v>18</v>
      </c>
      <c r="L40" s="1257"/>
      <c r="M40" s="414">
        <f>K40/B31</f>
        <v>0.72</v>
      </c>
      <c r="N40" s="1254">
        <v>21</v>
      </c>
      <c r="O40" s="1255"/>
      <c r="P40" s="414">
        <f>N40/B31</f>
        <v>0.84</v>
      </c>
    </row>
    <row r="41" spans="1:16" ht="16.5" thickBot="1">
      <c r="A41" s="829" t="s">
        <v>98</v>
      </c>
      <c r="B41" s="1250">
        <v>0</v>
      </c>
      <c r="C41" s="1251"/>
      <c r="D41" s="414">
        <f>B41/B32</f>
        <v>0</v>
      </c>
      <c r="E41" s="1252">
        <v>0</v>
      </c>
      <c r="F41" s="1253"/>
      <c r="G41" s="414">
        <f>E41/E32</f>
        <v>0</v>
      </c>
      <c r="H41" s="1252">
        <v>8</v>
      </c>
      <c r="I41" s="1253"/>
      <c r="J41" s="414">
        <f t="shared" ref="J41:J43" si="3">H41/B32</f>
        <v>0.36363636363636365</v>
      </c>
      <c r="K41" s="1252">
        <v>13</v>
      </c>
      <c r="L41" s="1253"/>
      <c r="M41" s="414">
        <f t="shared" ref="M41:M43" si="4">K41/B32</f>
        <v>0.59090909090909094</v>
      </c>
      <c r="N41" s="1254">
        <v>19</v>
      </c>
      <c r="O41" s="1255"/>
      <c r="P41" s="414">
        <f t="shared" ref="P41:P43" si="5">N41/B32</f>
        <v>0.86363636363636365</v>
      </c>
    </row>
    <row r="42" spans="1:16" ht="16.5" thickBot="1">
      <c r="A42" s="829" t="s">
        <v>99</v>
      </c>
      <c r="B42" s="1250">
        <v>0</v>
      </c>
      <c r="C42" s="1251"/>
      <c r="D42" s="414">
        <f>B42/B33</f>
        <v>0</v>
      </c>
      <c r="E42" s="1252">
        <v>0</v>
      </c>
      <c r="F42" s="1253"/>
      <c r="G42" s="414">
        <f>E42/E33</f>
        <v>0</v>
      </c>
      <c r="H42" s="1252">
        <v>0</v>
      </c>
      <c r="I42" s="1253"/>
      <c r="J42" s="414">
        <f t="shared" si="3"/>
        <v>0</v>
      </c>
      <c r="K42" s="1252">
        <v>6</v>
      </c>
      <c r="L42" s="1253"/>
      <c r="M42" s="414">
        <f t="shared" si="4"/>
        <v>0.6</v>
      </c>
      <c r="N42" s="1254">
        <v>6</v>
      </c>
      <c r="O42" s="1255"/>
      <c r="P42" s="414">
        <f t="shared" si="5"/>
        <v>0.6</v>
      </c>
    </row>
    <row r="43" spans="1:16" ht="15.75" thickBot="1">
      <c r="A43" s="257" t="s">
        <v>0</v>
      </c>
      <c r="B43" s="1284">
        <f>SUM(B40:B42)</f>
        <v>0</v>
      </c>
      <c r="C43" s="1285"/>
      <c r="D43" s="965">
        <f>B43/B34</f>
        <v>0</v>
      </c>
      <c r="E43" s="1284">
        <f>SUM(E40:F42)</f>
        <v>0</v>
      </c>
      <c r="F43" s="1285"/>
      <c r="G43" s="965">
        <f>E43/E34</f>
        <v>0</v>
      </c>
      <c r="H43" s="1284">
        <f>SUM(H40:I42)</f>
        <v>15</v>
      </c>
      <c r="I43" s="1285"/>
      <c r="J43" s="802">
        <f t="shared" si="3"/>
        <v>0.26315789473684209</v>
      </c>
      <c r="K43" s="1286">
        <f>SUM(K40:K42)</f>
        <v>37</v>
      </c>
      <c r="L43" s="1287"/>
      <c r="M43" s="802">
        <f t="shared" si="4"/>
        <v>0.64912280701754388</v>
      </c>
      <c r="N43" s="1288">
        <f>SUM(N40:O42)</f>
        <v>46</v>
      </c>
      <c r="O43" s="1287"/>
      <c r="P43" s="802">
        <f t="shared" si="5"/>
        <v>0.80701754385964908</v>
      </c>
    </row>
    <row r="44" spans="1:16">
      <c r="C44" s="1109"/>
      <c r="D44" s="1109"/>
      <c r="E44" s="1109"/>
      <c r="F44" s="1109"/>
      <c r="G44" s="1109"/>
      <c r="H44" s="1109"/>
      <c r="I44" s="1109"/>
      <c r="J44" s="1109"/>
      <c r="K44" s="1109"/>
      <c r="L44" s="1109"/>
    </row>
    <row r="45" spans="1:16">
      <c r="C45" s="1109"/>
      <c r="D45" s="1109"/>
      <c r="E45" s="1109"/>
      <c r="F45" s="1109"/>
      <c r="G45" s="1109"/>
      <c r="H45" s="1109"/>
      <c r="I45" s="1109"/>
      <c r="J45" s="1109"/>
      <c r="K45" s="1109"/>
      <c r="L45" s="1109"/>
    </row>
    <row r="46" spans="1:16">
      <c r="C46" s="1109"/>
      <c r="D46" s="1109"/>
      <c r="E46" s="1109"/>
      <c r="F46" s="1109"/>
      <c r="G46" s="1109"/>
      <c r="H46" s="1109"/>
      <c r="I46" s="1109"/>
      <c r="J46" s="1109"/>
      <c r="K46" s="1109"/>
      <c r="L46" s="1109"/>
    </row>
  </sheetData>
  <mergeCells count="87">
    <mergeCell ref="B43:C43"/>
    <mergeCell ref="E43:F43"/>
    <mergeCell ref="H43:I43"/>
    <mergeCell ref="K43:L43"/>
    <mergeCell ref="N43:O43"/>
    <mergeCell ref="B42:C42"/>
    <mergeCell ref="E42:F42"/>
    <mergeCell ref="H42:I42"/>
    <mergeCell ref="K42:L42"/>
    <mergeCell ref="N42:O42"/>
    <mergeCell ref="B41:C41"/>
    <mergeCell ref="E41:F41"/>
    <mergeCell ref="H41:I41"/>
    <mergeCell ref="K41:L41"/>
    <mergeCell ref="N41:O41"/>
    <mergeCell ref="B40:C40"/>
    <mergeCell ref="E40:F40"/>
    <mergeCell ref="H40:I40"/>
    <mergeCell ref="K40:L40"/>
    <mergeCell ref="N40:O40"/>
    <mergeCell ref="J38:J39"/>
    <mergeCell ref="K38:L39"/>
    <mergeCell ref="M38:M39"/>
    <mergeCell ref="N38:O39"/>
    <mergeCell ref="P38:P39"/>
    <mergeCell ref="B38:C39"/>
    <mergeCell ref="D38:D39"/>
    <mergeCell ref="E38:F39"/>
    <mergeCell ref="G38:G39"/>
    <mergeCell ref="H38:I39"/>
    <mergeCell ref="B37:D37"/>
    <mergeCell ref="E37:G37"/>
    <mergeCell ref="H37:J37"/>
    <mergeCell ref="K37:M37"/>
    <mergeCell ref="N37:P37"/>
    <mergeCell ref="K19:L19"/>
    <mergeCell ref="N19:O19"/>
    <mergeCell ref="B20:C20"/>
    <mergeCell ref="E20:F20"/>
    <mergeCell ref="H20:I20"/>
    <mergeCell ref="K20:L20"/>
    <mergeCell ref="N20:O20"/>
    <mergeCell ref="B19:C19"/>
    <mergeCell ref="E19:F19"/>
    <mergeCell ref="H19:I19"/>
    <mergeCell ref="M16:M17"/>
    <mergeCell ref="N16:O17"/>
    <mergeCell ref="P16:P17"/>
    <mergeCell ref="B18:C18"/>
    <mergeCell ref="E18:F18"/>
    <mergeCell ref="H18:I18"/>
    <mergeCell ref="K18:L18"/>
    <mergeCell ref="N18:O18"/>
    <mergeCell ref="B16:C17"/>
    <mergeCell ref="D16:D17"/>
    <mergeCell ref="E16:F17"/>
    <mergeCell ref="G16:G17"/>
    <mergeCell ref="H16:I17"/>
    <mergeCell ref="J16:J17"/>
    <mergeCell ref="K16:L17"/>
    <mergeCell ref="B15:D15"/>
    <mergeCell ref="E15:G15"/>
    <mergeCell ref="H15:J15"/>
    <mergeCell ref="K15:M15"/>
    <mergeCell ref="N15:P15"/>
    <mergeCell ref="M6:M8"/>
    <mergeCell ref="N6:N8"/>
    <mergeCell ref="A1:L2"/>
    <mergeCell ref="A3:L4"/>
    <mergeCell ref="C6:D6"/>
    <mergeCell ref="E6:F6"/>
    <mergeCell ref="G6:H6"/>
    <mergeCell ref="I6:J6"/>
    <mergeCell ref="K6:L6"/>
    <mergeCell ref="M28:M30"/>
    <mergeCell ref="N28:N30"/>
    <mergeCell ref="B21:C21"/>
    <mergeCell ref="E21:F21"/>
    <mergeCell ref="H21:I21"/>
    <mergeCell ref="K21:L21"/>
    <mergeCell ref="N21:O21"/>
    <mergeCell ref="A25:L26"/>
    <mergeCell ref="C28:D28"/>
    <mergeCell ref="E28:F28"/>
    <mergeCell ref="G28:H28"/>
    <mergeCell ref="I28:J28"/>
    <mergeCell ref="K28:L28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useFirstPageNumber="1" r:id="rId1"/>
  <headerFooter>
    <oddHeader>&amp;L&amp;"Trebuchet MS,Negrito"&amp;12&amp;K01+012AGRUPAMENTO DE ESCOLAS MIGUEL TORGA&amp;C
&amp;R&amp;"Trebuchet MS,Negrito itálico"&amp;12AUTOAVALIAÇÃO
3ºPeríodo  2012/13
Tabela III</oddHeader>
    <oddFooter>&amp;C
&amp;G&amp;R4</oddFooter>
  </headerFooter>
  <legacyDrawingHF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Z59"/>
  <sheetViews>
    <sheetView workbookViewId="0">
      <selection activeCell="F30" sqref="F30"/>
    </sheetView>
  </sheetViews>
  <sheetFormatPr defaultRowHeight="12.75"/>
  <cols>
    <col min="1" max="1" width="14.85546875" customWidth="1"/>
    <col min="2" max="2" width="8.85546875" customWidth="1"/>
    <col min="3" max="3" width="6.5703125" customWidth="1"/>
    <col min="4" max="4" width="6.85546875" customWidth="1"/>
    <col min="5" max="5" width="6.5703125" customWidth="1"/>
    <col min="6" max="7" width="10" customWidth="1"/>
    <col min="18" max="18" width="7.5703125" customWidth="1"/>
  </cols>
  <sheetData>
    <row r="1" spans="1:17" ht="13.5" thickBot="1"/>
    <row r="2" spans="1:17" ht="12.75" customHeight="1">
      <c r="A2" s="1568" t="s">
        <v>406</v>
      </c>
      <c r="B2" s="1569"/>
      <c r="C2" s="1569"/>
      <c r="D2" s="1569"/>
      <c r="E2" s="1569"/>
      <c r="F2" s="1570"/>
      <c r="G2" s="158"/>
    </row>
    <row r="3" spans="1:17" ht="25.5" customHeight="1" thickBot="1">
      <c r="A3" s="1571"/>
      <c r="B3" s="1572"/>
      <c r="C3" s="1572"/>
      <c r="D3" s="1572"/>
      <c r="E3" s="1572"/>
      <c r="F3" s="1573"/>
      <c r="G3" s="158"/>
    </row>
    <row r="4" spans="1:17" ht="29.25" customHeight="1" thickBot="1">
      <c r="A4" s="158"/>
      <c r="B4" s="158"/>
      <c r="C4" s="158"/>
      <c r="D4" s="158"/>
      <c r="E4" s="158"/>
      <c r="F4" s="158"/>
      <c r="G4" s="158"/>
    </row>
    <row r="5" spans="1:17" ht="19.5" customHeight="1" thickBot="1">
      <c r="A5" s="158"/>
      <c r="B5" s="158"/>
      <c r="C5" s="1825" t="s">
        <v>266</v>
      </c>
      <c r="D5" s="1826"/>
      <c r="E5" s="1826"/>
      <c r="F5" s="1826"/>
      <c r="G5" s="1826"/>
      <c r="H5" s="1826"/>
      <c r="I5" s="1826"/>
      <c r="J5" s="1826"/>
      <c r="K5" s="1827"/>
    </row>
    <row r="6" spans="1:17" ht="22.5" customHeight="1" thickBot="1">
      <c r="A6" s="158"/>
      <c r="B6" s="158"/>
      <c r="C6" s="158"/>
      <c r="D6" s="158"/>
      <c r="E6" s="158"/>
      <c r="F6" s="158"/>
      <c r="G6" s="158"/>
    </row>
    <row r="7" spans="1:17" ht="49.5" customHeight="1" thickBot="1">
      <c r="A7" s="1839" t="s">
        <v>270</v>
      </c>
      <c r="B7" s="1839"/>
      <c r="C7" s="1828" t="s">
        <v>272</v>
      </c>
      <c r="D7" s="1829"/>
      <c r="E7" s="1830" t="s">
        <v>271</v>
      </c>
      <c r="F7" s="1831"/>
      <c r="G7" s="232" t="s">
        <v>225</v>
      </c>
      <c r="I7" s="1843" t="s">
        <v>269</v>
      </c>
      <c r="J7" s="1844"/>
      <c r="K7" s="1845" t="s">
        <v>268</v>
      </c>
      <c r="L7" s="1846"/>
      <c r="M7" s="1847"/>
    </row>
    <row r="8" spans="1:17" ht="39.75" customHeight="1" thickBot="1">
      <c r="A8" s="1838">
        <v>250</v>
      </c>
      <c r="B8" s="1838"/>
      <c r="C8" s="1832">
        <v>54</v>
      </c>
      <c r="D8" s="1833"/>
      <c r="E8" s="1834">
        <v>566</v>
      </c>
      <c r="F8" s="1835"/>
      <c r="G8" s="384">
        <f>566/250</f>
        <v>2.2639999999999998</v>
      </c>
      <c r="I8" s="1836" t="s">
        <v>101</v>
      </c>
      <c r="J8" s="1837"/>
      <c r="K8" s="1840">
        <v>153</v>
      </c>
      <c r="L8" s="1841"/>
      <c r="M8" s="1842"/>
    </row>
    <row r="9" spans="1:17" ht="23.25" customHeight="1" thickBot="1">
      <c r="A9" s="225"/>
      <c r="B9" s="221"/>
      <c r="C9" s="221"/>
      <c r="D9" s="221"/>
      <c r="E9" s="220"/>
      <c r="F9" s="222"/>
      <c r="G9" s="222"/>
    </row>
    <row r="10" spans="1:17" ht="21.75" customHeight="1" thickBot="1">
      <c r="A10" s="158"/>
      <c r="B10" s="158"/>
      <c r="C10" s="1825" t="s">
        <v>267</v>
      </c>
      <c r="D10" s="1826"/>
      <c r="E10" s="1826"/>
      <c r="F10" s="1826"/>
      <c r="G10" s="1826"/>
      <c r="H10" s="1826"/>
      <c r="I10" s="1826"/>
      <c r="J10" s="1826"/>
      <c r="K10" s="1827"/>
    </row>
    <row r="11" spans="1:17" ht="18.75" customHeight="1" thickBot="1">
      <c r="A11" s="158"/>
      <c r="B11" s="158"/>
      <c r="C11" s="158"/>
      <c r="D11" s="158"/>
      <c r="E11" s="158"/>
      <c r="F11" s="158"/>
      <c r="G11" s="158"/>
    </row>
    <row r="12" spans="1:17" ht="49.5" customHeight="1" thickBot="1">
      <c r="A12" s="1839" t="s">
        <v>270</v>
      </c>
      <c r="B12" s="1839"/>
      <c r="C12" s="1828" t="s">
        <v>272</v>
      </c>
      <c r="D12" s="1829"/>
      <c r="E12" s="1830" t="s">
        <v>271</v>
      </c>
      <c r="F12" s="1831"/>
      <c r="G12" s="232" t="s">
        <v>225</v>
      </c>
      <c r="I12" s="1843" t="s">
        <v>269</v>
      </c>
      <c r="J12" s="1844"/>
      <c r="K12" s="1845" t="s">
        <v>268</v>
      </c>
      <c r="L12" s="1846"/>
      <c r="M12" s="1847"/>
    </row>
    <row r="13" spans="1:17" ht="41.25" customHeight="1" thickBot="1">
      <c r="A13" s="1838">
        <v>271</v>
      </c>
      <c r="B13" s="1838"/>
      <c r="C13" s="1832">
        <v>27</v>
      </c>
      <c r="D13" s="1833"/>
      <c r="E13" s="1834">
        <v>651</v>
      </c>
      <c r="F13" s="1835"/>
      <c r="G13" s="384">
        <f>651/271</f>
        <v>2.4022140221402215</v>
      </c>
      <c r="I13" s="1836" t="s">
        <v>101</v>
      </c>
      <c r="J13" s="1837"/>
      <c r="K13" s="1840">
        <v>159</v>
      </c>
      <c r="L13" s="1841"/>
      <c r="M13" s="1842"/>
    </row>
    <row r="14" spans="1:17" ht="34.5" customHeight="1" thickBot="1">
      <c r="A14" s="158"/>
      <c r="B14" s="158"/>
      <c r="C14" s="158"/>
      <c r="D14" s="158"/>
      <c r="E14" s="158"/>
      <c r="F14" s="158"/>
      <c r="G14" s="158"/>
    </row>
    <row r="15" spans="1:17" ht="21.75" customHeight="1" thickBot="1">
      <c r="A15" s="158"/>
      <c r="B15" s="158"/>
      <c r="C15" s="1825" t="s">
        <v>265</v>
      </c>
      <c r="D15" s="1826"/>
      <c r="E15" s="1826"/>
      <c r="F15" s="1826"/>
      <c r="G15" s="1826"/>
      <c r="H15" s="1826"/>
      <c r="I15" s="1826"/>
      <c r="J15" s="1826"/>
      <c r="K15" s="1827"/>
    </row>
    <row r="16" spans="1:17" ht="25.5" customHeight="1">
      <c r="A16" s="158"/>
      <c r="B16" s="158"/>
      <c r="C16" s="158"/>
      <c r="D16" s="158"/>
      <c r="E16" s="158"/>
      <c r="F16" s="158"/>
      <c r="G16" s="158"/>
      <c r="I16" s="2"/>
      <c r="Q16">
        <f>20+20+30+40+20+30+10+20</f>
        <v>190</v>
      </c>
    </row>
    <row r="17" spans="1:17" ht="18.75" thickBot="1">
      <c r="B17" s="151"/>
      <c r="C17" s="151"/>
      <c r="D17" s="151"/>
      <c r="E17" s="151"/>
    </row>
    <row r="18" spans="1:17" ht="39.75" customHeight="1" thickBot="1">
      <c r="A18" s="212" t="s">
        <v>254</v>
      </c>
      <c r="B18" s="213" t="s">
        <v>386</v>
      </c>
      <c r="C18" s="219" t="s">
        <v>381</v>
      </c>
      <c r="D18" s="204" t="s">
        <v>382</v>
      </c>
      <c r="E18" s="146" t="s">
        <v>383</v>
      </c>
      <c r="F18" s="213" t="s">
        <v>384</v>
      </c>
      <c r="G18" s="158"/>
    </row>
    <row r="19" spans="1:17" ht="18">
      <c r="A19" s="214" t="s">
        <v>218</v>
      </c>
      <c r="B19" s="215"/>
      <c r="C19" s="385">
        <v>1184</v>
      </c>
      <c r="D19" s="385">
        <v>1845</v>
      </c>
      <c r="E19" s="216">
        <v>706</v>
      </c>
      <c r="F19" s="216">
        <f>SUM(C19:E19)</f>
        <v>3735</v>
      </c>
      <c r="G19" s="220"/>
    </row>
    <row r="20" spans="1:17" ht="18">
      <c r="A20" s="216" t="s">
        <v>219</v>
      </c>
      <c r="B20" s="215"/>
      <c r="C20" s="385">
        <v>274</v>
      </c>
      <c r="D20" s="385">
        <v>488</v>
      </c>
      <c r="E20" s="216">
        <v>190</v>
      </c>
      <c r="F20" s="216">
        <f>SUM(C20:E20)</f>
        <v>952</v>
      </c>
      <c r="G20" s="220"/>
      <c r="Q20" s="2" t="s">
        <v>34</v>
      </c>
    </row>
    <row r="21" spans="1:17" ht="18.75" thickBot="1">
      <c r="A21" s="217" t="s">
        <v>220</v>
      </c>
      <c r="B21" s="218"/>
      <c r="C21" s="386">
        <v>256</v>
      </c>
      <c r="D21" s="386">
        <v>420</v>
      </c>
      <c r="E21" s="217">
        <v>130</v>
      </c>
      <c r="F21" s="217">
        <f>SUM(C21:E21)</f>
        <v>806</v>
      </c>
      <c r="G21" s="220"/>
    </row>
    <row r="22" spans="1:17" ht="18.75" thickBot="1">
      <c r="A22" s="216" t="s">
        <v>0</v>
      </c>
      <c r="B22" s="332">
        <v>6995</v>
      </c>
      <c r="C22" s="385">
        <f>SUM(C19:C21)</f>
        <v>1714</v>
      </c>
      <c r="D22" s="385">
        <f>SUM(D19:D21)</f>
        <v>2753</v>
      </c>
      <c r="E22" s="216">
        <f>SUM(E19:E21)</f>
        <v>1026</v>
      </c>
      <c r="F22" s="387">
        <f>SUM(C22:E22)</f>
        <v>5493</v>
      </c>
      <c r="G22" s="222"/>
    </row>
    <row r="23" spans="1:17" ht="18">
      <c r="A23" s="220"/>
      <c r="B23" s="220"/>
      <c r="C23" s="221"/>
      <c r="D23" s="221"/>
      <c r="E23" s="220"/>
      <c r="F23" s="222"/>
      <c r="G23" s="222"/>
    </row>
    <row r="24" spans="1:17" ht="18" hidden="1" customHeight="1">
      <c r="A24" s="220"/>
      <c r="B24" s="220"/>
      <c r="C24" s="221"/>
      <c r="D24" s="221"/>
      <c r="E24" s="220"/>
      <c r="F24" s="222"/>
      <c r="G24" s="222"/>
    </row>
    <row r="25" spans="1:17" ht="18">
      <c r="A25" s="220"/>
      <c r="B25" s="220"/>
      <c r="C25" s="221"/>
      <c r="D25" s="221"/>
      <c r="E25" s="220"/>
      <c r="F25" s="222"/>
      <c r="G25" s="222"/>
    </row>
    <row r="26" spans="1:17" ht="17.25" customHeight="1">
      <c r="A26" s="108"/>
      <c r="B26" s="108"/>
      <c r="C26" s="155"/>
      <c r="D26" s="156"/>
      <c r="E26" s="108"/>
      <c r="F26" s="108"/>
      <c r="G26" s="108"/>
    </row>
    <row r="27" spans="1:17" ht="17.25" customHeight="1">
      <c r="A27" s="108"/>
      <c r="B27" s="108"/>
      <c r="C27" s="155"/>
      <c r="D27" s="156"/>
      <c r="E27" s="108"/>
      <c r="F27" s="108"/>
      <c r="G27" s="108"/>
    </row>
    <row r="28" spans="1:17" ht="12" customHeight="1" thickBot="1">
      <c r="A28" s="157"/>
      <c r="B28" s="15"/>
      <c r="C28" s="15"/>
      <c r="D28" s="15"/>
      <c r="E28" s="15"/>
      <c r="F28" s="15"/>
      <c r="G28" s="15"/>
    </row>
    <row r="29" spans="1:17" ht="50.25" thickBot="1">
      <c r="A29" s="212" t="s">
        <v>217</v>
      </c>
      <c r="B29" s="213" t="s">
        <v>385</v>
      </c>
      <c r="C29" s="219" t="s">
        <v>381</v>
      </c>
      <c r="D29" s="204" t="s">
        <v>382</v>
      </c>
      <c r="E29" s="146" t="s">
        <v>383</v>
      </c>
      <c r="F29" s="213" t="s">
        <v>384</v>
      </c>
      <c r="G29" s="158"/>
    </row>
    <row r="30" spans="1:17" ht="18">
      <c r="A30" s="154" t="s">
        <v>88</v>
      </c>
      <c r="B30" s="215"/>
      <c r="C30" s="385">
        <f>7+39+4</f>
        <v>50</v>
      </c>
      <c r="D30" s="385">
        <v>26</v>
      </c>
      <c r="E30" s="216">
        <v>0</v>
      </c>
      <c r="F30" s="216">
        <f t="shared" ref="F30:F35" si="0">SUM(C30:E30)</f>
        <v>76</v>
      </c>
      <c r="G30" s="220"/>
    </row>
    <row r="31" spans="1:17" ht="18">
      <c r="A31" s="128" t="s">
        <v>89</v>
      </c>
      <c r="B31" s="215"/>
      <c r="C31" s="385">
        <f>5+18+3+11+5</f>
        <v>42</v>
      </c>
      <c r="D31" s="385">
        <v>62</v>
      </c>
      <c r="E31" s="216">
        <v>0</v>
      </c>
      <c r="F31" s="216">
        <f t="shared" si="0"/>
        <v>104</v>
      </c>
      <c r="G31" s="220"/>
    </row>
    <row r="32" spans="1:17" ht="18">
      <c r="A32" s="128" t="s">
        <v>90</v>
      </c>
      <c r="B32" s="215"/>
      <c r="C32" s="385">
        <v>9</v>
      </c>
      <c r="D32" s="385">
        <v>18</v>
      </c>
      <c r="E32" s="216">
        <v>0</v>
      </c>
      <c r="F32" s="216">
        <f t="shared" si="0"/>
        <v>27</v>
      </c>
      <c r="G32" s="220"/>
    </row>
    <row r="33" spans="1:26" ht="18">
      <c r="A33" s="128" t="s">
        <v>91</v>
      </c>
      <c r="B33" s="215"/>
      <c r="C33" s="385">
        <v>1</v>
      </c>
      <c r="D33" s="385">
        <v>6</v>
      </c>
      <c r="E33" s="216">
        <v>0</v>
      </c>
      <c r="F33" s="216">
        <f t="shared" si="0"/>
        <v>7</v>
      </c>
      <c r="G33" s="220"/>
    </row>
    <row r="34" spans="1:26" ht="18">
      <c r="A34" s="128" t="s">
        <v>92</v>
      </c>
      <c r="B34" s="215"/>
      <c r="C34" s="385">
        <v>0</v>
      </c>
      <c r="D34" s="385">
        <v>1</v>
      </c>
      <c r="E34" s="216">
        <v>0</v>
      </c>
      <c r="F34" s="216">
        <f t="shared" si="0"/>
        <v>1</v>
      </c>
      <c r="G34" s="220"/>
    </row>
    <row r="35" spans="1:26" ht="18.75" thickBot="1">
      <c r="A35" s="192" t="s">
        <v>93</v>
      </c>
      <c r="B35" s="218"/>
      <c r="C35" s="386">
        <v>0</v>
      </c>
      <c r="D35" s="386">
        <v>0</v>
      </c>
      <c r="E35" s="217">
        <v>0</v>
      </c>
      <c r="F35" s="217">
        <f t="shared" si="0"/>
        <v>0</v>
      </c>
      <c r="G35" s="220"/>
      <c r="H35">
        <f>SUM(C35:E35)</f>
        <v>0</v>
      </c>
    </row>
    <row r="36" spans="1:26" ht="18.75" customHeight="1" thickBot="1">
      <c r="A36" s="238" t="s">
        <v>224</v>
      </c>
      <c r="B36" s="333">
        <v>718</v>
      </c>
      <c r="C36" s="388">
        <f>SUM(C30:C35)</f>
        <v>102</v>
      </c>
      <c r="D36" s="388">
        <f>SUM(D30:D35)</f>
        <v>113</v>
      </c>
      <c r="E36" s="388">
        <f>SUM(E30:E35)</f>
        <v>0</v>
      </c>
      <c r="F36" s="389">
        <f>SUM(F30:F35)</f>
        <v>215</v>
      </c>
      <c r="G36" s="247"/>
    </row>
    <row r="37" spans="1:26" ht="22.5" customHeight="1" thickBot="1">
      <c r="A37" s="128" t="s">
        <v>226</v>
      </c>
      <c r="B37" s="216">
        <v>708</v>
      </c>
      <c r="C37" s="385">
        <v>674</v>
      </c>
      <c r="D37" s="385">
        <v>674</v>
      </c>
      <c r="E37" s="216">
        <v>674</v>
      </c>
      <c r="F37" s="390">
        <v>674</v>
      </c>
      <c r="G37" s="222"/>
    </row>
    <row r="38" spans="1:26" ht="33" customHeight="1" thickBot="1">
      <c r="A38" s="159" t="s">
        <v>225</v>
      </c>
      <c r="B38" s="334">
        <f>B36/B37</f>
        <v>1.0141242937853108</v>
      </c>
      <c r="C38" s="391">
        <f>C36/C37</f>
        <v>0.1513353115727003</v>
      </c>
      <c r="D38" s="391">
        <f>D36/D37</f>
        <v>0.16765578635014836</v>
      </c>
      <c r="E38" s="391">
        <f>E36/E37</f>
        <v>0</v>
      </c>
      <c r="F38" s="392">
        <f>F36/F37</f>
        <v>0.31899109792284869</v>
      </c>
      <c r="G38" s="224"/>
      <c r="O38" s="2"/>
    </row>
    <row r="39" spans="1:26" ht="12.75" customHeight="1">
      <c r="A39" s="225"/>
      <c r="B39" s="226"/>
      <c r="C39" s="223"/>
      <c r="D39" s="223"/>
      <c r="E39" s="223"/>
      <c r="F39" s="224"/>
      <c r="G39" s="224"/>
      <c r="O39" s="2"/>
    </row>
    <row r="40" spans="1:26" ht="70.5" customHeight="1" thickBot="1">
      <c r="A40" s="109"/>
      <c r="B40" s="134"/>
    </row>
    <row r="41" spans="1:26" ht="34.5" customHeight="1" thickBot="1">
      <c r="A41" s="212" t="s">
        <v>221</v>
      </c>
      <c r="B41" s="213" t="s">
        <v>385</v>
      </c>
      <c r="C41" s="219" t="s">
        <v>381</v>
      </c>
      <c r="D41" s="204" t="s">
        <v>382</v>
      </c>
      <c r="E41" s="146" t="s">
        <v>383</v>
      </c>
      <c r="F41" s="213" t="s">
        <v>384</v>
      </c>
      <c r="G41" s="158"/>
    </row>
    <row r="42" spans="1:26" ht="18.75" thickBot="1">
      <c r="A42" s="154" t="s">
        <v>223</v>
      </c>
      <c r="B42" s="215"/>
      <c r="C42" s="385">
        <v>276</v>
      </c>
      <c r="D42" s="385">
        <v>472</v>
      </c>
      <c r="E42" s="216">
        <v>205</v>
      </c>
      <c r="F42" s="527">
        <f>SUM(C42:E42)</f>
        <v>953</v>
      </c>
      <c r="G42" s="222"/>
    </row>
    <row r="43" spans="1:26" ht="18.75" thickBot="1">
      <c r="A43" s="128" t="s">
        <v>222</v>
      </c>
      <c r="B43" s="215"/>
      <c r="C43" s="385">
        <v>230</v>
      </c>
      <c r="D43" s="385">
        <v>296</v>
      </c>
      <c r="E43" s="216">
        <v>146</v>
      </c>
      <c r="F43" s="390">
        <f>SUM(C43:E43)</f>
        <v>672</v>
      </c>
      <c r="G43" s="222"/>
    </row>
    <row r="44" spans="1:26" ht="18.75" thickBot="1">
      <c r="A44" s="128" t="s">
        <v>260</v>
      </c>
      <c r="B44" s="215"/>
      <c r="C44" s="385">
        <v>10</v>
      </c>
      <c r="D44" s="385">
        <v>10</v>
      </c>
      <c r="E44" s="216">
        <v>5</v>
      </c>
      <c r="F44" s="390">
        <f>SUM(C44:E44)</f>
        <v>25</v>
      </c>
      <c r="G44" s="222"/>
      <c r="Z44" s="193"/>
    </row>
    <row r="45" spans="1:26" ht="18.75" thickBot="1">
      <c r="A45" s="128" t="s">
        <v>259</v>
      </c>
      <c r="B45" s="215"/>
      <c r="C45" s="385">
        <v>0</v>
      </c>
      <c r="D45" s="385">
        <v>0</v>
      </c>
      <c r="E45" s="216">
        <v>0</v>
      </c>
      <c r="F45" s="528">
        <f>SUM(C45:E45)</f>
        <v>0</v>
      </c>
      <c r="G45" s="222"/>
    </row>
    <row r="46" spans="1:26" ht="41.25" customHeight="1">
      <c r="A46" s="108"/>
      <c r="B46" s="108"/>
      <c r="C46" s="155"/>
      <c r="D46" s="156"/>
      <c r="E46" s="108"/>
      <c r="F46" s="108"/>
      <c r="G46" s="108"/>
      <c r="H46" s="15"/>
      <c r="I46" s="15"/>
      <c r="J46" s="15"/>
      <c r="K46" s="15"/>
      <c r="L46" s="15"/>
      <c r="M46" s="15"/>
    </row>
    <row r="47" spans="1:26" ht="9.75" customHeight="1">
      <c r="A47" s="108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</row>
    <row r="48" spans="1:26" ht="15">
      <c r="A48" s="162"/>
      <c r="B48" s="160"/>
      <c r="C48" s="161"/>
      <c r="D48" s="161"/>
      <c r="E48" s="160"/>
      <c r="F48" s="160"/>
      <c r="G48" s="160"/>
      <c r="H48" s="15"/>
      <c r="I48" s="15"/>
      <c r="J48" s="15"/>
      <c r="K48" s="15"/>
      <c r="L48" s="15"/>
      <c r="M48" s="15"/>
    </row>
    <row r="49" spans="1:13" ht="18">
      <c r="A49" s="231"/>
      <c r="B49" s="158"/>
      <c r="C49" s="162"/>
      <c r="D49" s="162"/>
      <c r="E49" s="230"/>
      <c r="F49" s="158"/>
      <c r="G49" s="158"/>
      <c r="H49" s="15"/>
      <c r="I49" s="15"/>
      <c r="J49" s="15"/>
      <c r="K49" s="15"/>
      <c r="L49" s="15"/>
      <c r="M49" s="15"/>
    </row>
    <row r="50" spans="1:13" ht="18">
      <c r="A50" s="108"/>
      <c r="B50" s="221"/>
      <c r="C50" s="221"/>
      <c r="D50" s="221"/>
      <c r="E50" s="220"/>
      <c r="F50" s="222"/>
      <c r="G50" s="222"/>
      <c r="H50" s="15"/>
      <c r="I50" s="15"/>
      <c r="J50" s="15"/>
      <c r="K50" s="15"/>
      <c r="L50" s="15"/>
      <c r="M50" s="15"/>
    </row>
    <row r="51" spans="1:13" ht="18">
      <c r="A51" s="108"/>
      <c r="B51" s="221"/>
      <c r="C51" s="221"/>
      <c r="D51" s="221"/>
      <c r="E51" s="220"/>
      <c r="F51" s="222"/>
      <c r="G51" s="222"/>
      <c r="H51" s="15"/>
      <c r="I51" s="15"/>
      <c r="J51" s="15"/>
      <c r="K51" s="15"/>
      <c r="L51" s="15"/>
      <c r="M51" s="15"/>
    </row>
    <row r="52" spans="1:13" ht="18">
      <c r="A52" s="108"/>
      <c r="B52" s="221"/>
      <c r="C52" s="221"/>
      <c r="D52" s="221"/>
      <c r="E52" s="220"/>
      <c r="F52" s="222"/>
      <c r="G52" s="222"/>
      <c r="H52" s="15"/>
      <c r="I52" s="15"/>
      <c r="J52" s="15"/>
      <c r="K52" s="15"/>
      <c r="L52" s="15"/>
      <c r="M52" s="15"/>
    </row>
    <row r="53" spans="1:13" ht="18">
      <c r="A53" s="108"/>
      <c r="B53" s="221"/>
      <c r="C53" s="221"/>
      <c r="D53" s="221"/>
      <c r="E53" s="220"/>
      <c r="F53" s="222"/>
      <c r="G53" s="222"/>
      <c r="H53" s="15"/>
      <c r="I53" s="15"/>
      <c r="J53" s="15"/>
      <c r="K53" s="15"/>
      <c r="L53" s="15"/>
      <c r="M53" s="15"/>
    </row>
    <row r="54" spans="1:13" ht="15">
      <c r="A54" s="108"/>
    </row>
    <row r="55" spans="1:13" ht="15">
      <c r="A55" s="162"/>
      <c r="B55" s="160"/>
      <c r="C55" s="161"/>
      <c r="D55" s="161"/>
      <c r="E55" s="160"/>
      <c r="F55" s="160"/>
      <c r="G55" s="160"/>
    </row>
    <row r="56" spans="1:13" ht="18">
      <c r="A56" s="108"/>
      <c r="B56" s="108"/>
      <c r="C56" s="155"/>
      <c r="D56" s="156"/>
      <c r="E56" s="108"/>
      <c r="F56" s="108"/>
      <c r="G56" s="108"/>
    </row>
    <row r="57" spans="1:13" ht="18">
      <c r="A57" s="108"/>
      <c r="B57" s="108"/>
      <c r="C57" s="155"/>
      <c r="D57" s="156"/>
      <c r="E57" s="108"/>
      <c r="F57" s="108"/>
      <c r="G57" s="108"/>
    </row>
    <row r="58" spans="1:13" ht="18">
      <c r="A58" s="108"/>
      <c r="B58" s="108"/>
      <c r="C58" s="155"/>
      <c r="D58" s="156"/>
      <c r="E58" s="108"/>
      <c r="F58" s="108"/>
      <c r="G58" s="108"/>
    </row>
    <row r="59" spans="1:13" ht="18">
      <c r="A59" s="108"/>
      <c r="B59" s="108"/>
      <c r="C59" s="155"/>
      <c r="D59" s="156"/>
      <c r="E59" s="108"/>
      <c r="F59" s="108"/>
      <c r="G59" s="108"/>
    </row>
  </sheetData>
  <mergeCells count="24">
    <mergeCell ref="A2:F3"/>
    <mergeCell ref="A8:B8"/>
    <mergeCell ref="A12:B12"/>
    <mergeCell ref="A13:B13"/>
    <mergeCell ref="K8:M8"/>
    <mergeCell ref="I7:J7"/>
    <mergeCell ref="K7:M7"/>
    <mergeCell ref="I12:J12"/>
    <mergeCell ref="K12:M12"/>
    <mergeCell ref="E7:F7"/>
    <mergeCell ref="C7:D7"/>
    <mergeCell ref="A7:B7"/>
    <mergeCell ref="I13:J13"/>
    <mergeCell ref="K13:M13"/>
    <mergeCell ref="C15:K15"/>
    <mergeCell ref="C5:K5"/>
    <mergeCell ref="C10:K10"/>
    <mergeCell ref="C12:D12"/>
    <mergeCell ref="E12:F12"/>
    <mergeCell ref="C8:D8"/>
    <mergeCell ref="E8:F8"/>
    <mergeCell ref="C13:D13"/>
    <mergeCell ref="E13:F13"/>
    <mergeCell ref="I8:J8"/>
  </mergeCells>
  <phoneticPr fontId="0" type="noConversion"/>
  <printOptions horizontalCentered="1"/>
  <pageMargins left="0.51181102362204722" right="0.51181102362204722" top="0.35433070866141736" bottom="0.35433070866141736" header="0.11811023622047245" footer="0.11811023622047245"/>
  <pageSetup paperSize="9" scale="72" orientation="portrait" useFirstPageNumber="1" r:id="rId1"/>
  <headerFooter>
    <oddHeader>&amp;L&amp;"Trebuchet MS,Negrito"&amp;12&amp;K01+018AGRUPAMENTO DE ESCOLAS MIGUEL TORGA&amp;C
&amp;R&amp;"Trebuchet MS,Negrito itálico"&amp;12AUTO - AVALIAÇÃO
2ºPeríodo  2011/12
Tabela XXIV</oddHeader>
    <oddFooter>&amp;C
&amp;R24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45"/>
  <sheetViews>
    <sheetView showGridLines="0" topLeftCell="B1" zoomScale="90" zoomScaleNormal="90" workbookViewId="0">
      <selection activeCell="C45" sqref="C45"/>
    </sheetView>
  </sheetViews>
  <sheetFormatPr defaultRowHeight="12.75"/>
  <cols>
    <col min="1" max="1" width="8" customWidth="1"/>
    <col min="2" max="2" width="7.85546875" customWidth="1"/>
    <col min="3" max="12" width="8" customWidth="1"/>
    <col min="13" max="14" width="11.140625" customWidth="1"/>
    <col min="15" max="15" width="7.28515625" customWidth="1"/>
    <col min="16" max="16" width="7.85546875" customWidth="1"/>
    <col min="17" max="20" width="7.28515625" customWidth="1"/>
    <col min="21" max="21" width="12.7109375" customWidth="1"/>
    <col min="22" max="22" width="14.28515625" customWidth="1"/>
  </cols>
  <sheetData>
    <row r="1" spans="1:16" ht="12.75" customHeight="1">
      <c r="A1" s="1291" t="s">
        <v>115</v>
      </c>
      <c r="B1" s="1291"/>
      <c r="C1" s="1291"/>
      <c r="D1" s="1291"/>
      <c r="E1" s="1291"/>
      <c r="F1" s="1291"/>
      <c r="G1" s="1291"/>
      <c r="H1" s="1291"/>
      <c r="I1" s="1291"/>
      <c r="J1" s="1291"/>
      <c r="K1" s="1291"/>
      <c r="L1" s="1291"/>
    </row>
    <row r="2" spans="1:16" ht="12.75" customHeight="1">
      <c r="A2" s="1291"/>
      <c r="B2" s="1291"/>
      <c r="C2" s="1291"/>
      <c r="D2" s="1291"/>
      <c r="E2" s="1291"/>
      <c r="F2" s="1291"/>
      <c r="G2" s="1291"/>
      <c r="H2" s="1291"/>
      <c r="I2" s="1291"/>
      <c r="J2" s="1291"/>
      <c r="K2" s="1291"/>
      <c r="L2" s="1291"/>
    </row>
    <row r="3" spans="1:16" ht="12.75" customHeight="1">
      <c r="A3" s="1291" t="s">
        <v>491</v>
      </c>
      <c r="B3" s="1291"/>
      <c r="C3" s="1291"/>
      <c r="D3" s="1291"/>
      <c r="E3" s="1291"/>
      <c r="F3" s="1291"/>
      <c r="G3" s="1291"/>
      <c r="H3" s="1291"/>
      <c r="I3" s="1291"/>
      <c r="J3" s="1291"/>
    </row>
    <row r="4" spans="1:16" ht="12.75" customHeight="1">
      <c r="A4" s="1291"/>
      <c r="B4" s="1291"/>
      <c r="C4" s="1291"/>
      <c r="D4" s="1291"/>
      <c r="E4" s="1291"/>
      <c r="F4" s="1291"/>
      <c r="G4" s="1291"/>
      <c r="H4" s="1291"/>
      <c r="I4" s="1291"/>
      <c r="J4" s="1291"/>
    </row>
    <row r="5" spans="1:16" ht="19.5" thickBot="1">
      <c r="A5" s="103"/>
      <c r="B5" s="103"/>
      <c r="C5" s="104"/>
      <c r="D5" s="104"/>
      <c r="E5" s="104"/>
      <c r="F5" s="104"/>
      <c r="G5" s="104"/>
      <c r="H5" s="104"/>
      <c r="I5" s="104"/>
      <c r="J5" s="104"/>
      <c r="K5" s="104"/>
      <c r="L5" s="104"/>
    </row>
    <row r="6" spans="1:16" ht="15.75" customHeight="1" thickBot="1">
      <c r="A6" s="83"/>
      <c r="B6" s="105" t="s">
        <v>7</v>
      </c>
      <c r="C6" s="1279" t="s">
        <v>94</v>
      </c>
      <c r="D6" s="1289"/>
      <c r="E6" s="1290" t="s">
        <v>95</v>
      </c>
      <c r="F6" s="1289"/>
      <c r="G6" s="1290" t="s">
        <v>96</v>
      </c>
      <c r="H6" s="1289"/>
      <c r="I6" s="1290" t="s">
        <v>532</v>
      </c>
      <c r="J6" s="1289"/>
      <c r="K6" s="1290" t="s">
        <v>533</v>
      </c>
      <c r="L6" s="1289"/>
      <c r="M6" s="1292"/>
      <c r="N6" s="1292"/>
    </row>
    <row r="7" spans="1:16" ht="14.25" customHeight="1" thickBot="1">
      <c r="A7" s="106" t="s">
        <v>26</v>
      </c>
      <c r="B7" s="106" t="s">
        <v>19</v>
      </c>
      <c r="C7" s="85" t="s">
        <v>18</v>
      </c>
      <c r="D7" s="85" t="s">
        <v>17</v>
      </c>
      <c r="E7" s="85" t="s">
        <v>18</v>
      </c>
      <c r="F7" s="85" t="s">
        <v>17</v>
      </c>
      <c r="G7" s="85" t="s">
        <v>18</v>
      </c>
      <c r="H7" s="85" t="s">
        <v>17</v>
      </c>
      <c r="I7" s="85" t="s">
        <v>18</v>
      </c>
      <c r="J7" s="85" t="s">
        <v>17</v>
      </c>
      <c r="K7" s="85" t="s">
        <v>18</v>
      </c>
      <c r="L7" s="85" t="s">
        <v>17</v>
      </c>
      <c r="M7" s="1283"/>
      <c r="N7" s="1283"/>
    </row>
    <row r="8" spans="1:16" ht="15" thickBot="1">
      <c r="A8" s="84"/>
      <c r="B8" s="107" t="s">
        <v>16</v>
      </c>
      <c r="C8" s="90" t="s">
        <v>323</v>
      </c>
      <c r="D8" s="90" t="s">
        <v>324</v>
      </c>
      <c r="E8" s="90" t="s">
        <v>323</v>
      </c>
      <c r="F8" s="90" t="s">
        <v>324</v>
      </c>
      <c r="G8" s="90" t="s">
        <v>323</v>
      </c>
      <c r="H8" s="90" t="s">
        <v>324</v>
      </c>
      <c r="I8" s="90" t="s">
        <v>323</v>
      </c>
      <c r="J8" s="90" t="s">
        <v>324</v>
      </c>
      <c r="K8" s="90" t="s">
        <v>323</v>
      </c>
      <c r="L8" s="90" t="s">
        <v>324</v>
      </c>
      <c r="M8" s="1283"/>
      <c r="N8" s="1283"/>
    </row>
    <row r="9" spans="1:16" ht="18.75" thickBot="1">
      <c r="A9" s="88" t="s">
        <v>97</v>
      </c>
      <c r="B9" s="89">
        <v>23</v>
      </c>
      <c r="C9" s="93">
        <v>23</v>
      </c>
      <c r="D9" s="94">
        <f>(C9/B9)</f>
        <v>1</v>
      </c>
      <c r="E9" s="93">
        <v>21</v>
      </c>
      <c r="F9" s="94">
        <f>(E9/B9)</f>
        <v>0.91304347826086951</v>
      </c>
      <c r="G9" s="93">
        <v>23</v>
      </c>
      <c r="H9" s="94">
        <f>(G9/B9)</f>
        <v>1</v>
      </c>
      <c r="I9" s="93">
        <v>23</v>
      </c>
      <c r="J9" s="94">
        <f>(I9/B9)</f>
        <v>1</v>
      </c>
      <c r="K9" s="93">
        <v>23</v>
      </c>
      <c r="L9" s="94">
        <f>(K9/B9)</f>
        <v>1</v>
      </c>
      <c r="M9" s="834"/>
      <c r="N9" s="835"/>
    </row>
    <row r="10" spans="1:16" ht="18.75" thickBot="1">
      <c r="A10" s="88" t="s">
        <v>98</v>
      </c>
      <c r="B10" s="1036">
        <v>22</v>
      </c>
      <c r="C10" s="93">
        <v>22</v>
      </c>
      <c r="D10" s="94">
        <f>(C10/B10)</f>
        <v>1</v>
      </c>
      <c r="E10" s="93">
        <v>22</v>
      </c>
      <c r="F10" s="94">
        <f>(E10/B10)</f>
        <v>1</v>
      </c>
      <c r="G10" s="93">
        <v>22</v>
      </c>
      <c r="H10" s="94">
        <f>(G10/B10)</f>
        <v>1</v>
      </c>
      <c r="I10" s="93">
        <v>22</v>
      </c>
      <c r="J10" s="94">
        <f>(I10/B10)</f>
        <v>1</v>
      </c>
      <c r="K10" s="93">
        <v>22</v>
      </c>
      <c r="L10" s="94">
        <f>(K10/B10)</f>
        <v>1</v>
      </c>
      <c r="M10" s="834"/>
      <c r="N10" s="835"/>
    </row>
    <row r="11" spans="1:16" ht="18.75" thickBot="1">
      <c r="A11" s="88" t="s">
        <v>99</v>
      </c>
      <c r="B11" s="1036">
        <v>20</v>
      </c>
      <c r="C11" s="93">
        <v>18</v>
      </c>
      <c r="D11" s="94">
        <f>(C11/B11)</f>
        <v>0.9</v>
      </c>
      <c r="E11" s="93">
        <v>18</v>
      </c>
      <c r="F11" s="94">
        <f>(E11/B11)</f>
        <v>0.9</v>
      </c>
      <c r="G11" s="93">
        <v>20</v>
      </c>
      <c r="H11" s="94">
        <f>(G11/B11)</f>
        <v>1</v>
      </c>
      <c r="I11" s="93">
        <v>20</v>
      </c>
      <c r="J11" s="94">
        <f>(I11/B11)</f>
        <v>1</v>
      </c>
      <c r="K11" s="93">
        <v>20</v>
      </c>
      <c r="L11" s="94">
        <f>(K11/B11)</f>
        <v>1</v>
      </c>
      <c r="M11" s="834"/>
      <c r="N11" s="835"/>
    </row>
    <row r="12" spans="1:16" ht="17.25" thickBot="1">
      <c r="A12" s="86" t="s">
        <v>0</v>
      </c>
      <c r="B12" s="87">
        <f>SUM(B9:B11)</f>
        <v>65</v>
      </c>
      <c r="C12" s="91">
        <f>SUM(C9:C11)</f>
        <v>63</v>
      </c>
      <c r="D12" s="92">
        <f>(C12/B12)</f>
        <v>0.96923076923076923</v>
      </c>
      <c r="E12" s="87">
        <f>SUM(E9:E11)</f>
        <v>61</v>
      </c>
      <c r="F12" s="92">
        <f>(E12/B12)</f>
        <v>0.93846153846153846</v>
      </c>
      <c r="G12" s="87">
        <f>SUM(G9:G11)</f>
        <v>65</v>
      </c>
      <c r="H12" s="92">
        <f>(G12/B12)</f>
        <v>1</v>
      </c>
      <c r="I12" s="87">
        <f>SUM(I9:I11)</f>
        <v>65</v>
      </c>
      <c r="J12" s="92">
        <f>(I12/B12)</f>
        <v>1</v>
      </c>
      <c r="K12" s="91">
        <f>SUM(K9:K11)</f>
        <v>65</v>
      </c>
      <c r="L12" s="92">
        <f>(K12/B12)</f>
        <v>1</v>
      </c>
      <c r="M12" s="836"/>
      <c r="N12" s="837"/>
    </row>
    <row r="14" spans="1:16" ht="13.5" thickBot="1"/>
    <row r="15" spans="1:16" ht="16.5" customHeight="1" thickBot="1">
      <c r="B15" s="1270" t="s">
        <v>545</v>
      </c>
      <c r="C15" s="1271"/>
      <c r="D15" s="1272"/>
      <c r="E15" s="1273" t="s">
        <v>549</v>
      </c>
      <c r="F15" s="1274"/>
      <c r="G15" s="1275"/>
      <c r="H15" s="1273" t="s">
        <v>547</v>
      </c>
      <c r="I15" s="1274"/>
      <c r="J15" s="1275"/>
      <c r="K15" s="1273" t="s">
        <v>548</v>
      </c>
      <c r="L15" s="1274"/>
      <c r="M15" s="1275"/>
      <c r="N15" s="1273" t="s">
        <v>283</v>
      </c>
      <c r="O15" s="1274"/>
      <c r="P15" s="1275"/>
    </row>
    <row r="16" spans="1:16" ht="15.75" thickBot="1">
      <c r="A16" s="258"/>
      <c r="B16" s="1262" t="s">
        <v>546</v>
      </c>
      <c r="C16" s="1263"/>
      <c r="D16" s="1240" t="s">
        <v>147</v>
      </c>
      <c r="E16" s="1266" t="s">
        <v>546</v>
      </c>
      <c r="F16" s="1267"/>
      <c r="G16" s="1241" t="s">
        <v>147</v>
      </c>
      <c r="H16" s="1266" t="s">
        <v>546</v>
      </c>
      <c r="I16" s="1267"/>
      <c r="J16" s="1241" t="s">
        <v>147</v>
      </c>
      <c r="K16" s="1258" t="s">
        <v>546</v>
      </c>
      <c r="L16" s="1259"/>
      <c r="M16" s="1241" t="s">
        <v>147</v>
      </c>
      <c r="N16" s="1258" t="s">
        <v>546</v>
      </c>
      <c r="O16" s="1259"/>
      <c r="P16" s="1241" t="s">
        <v>147</v>
      </c>
    </row>
    <row r="17" spans="1:23" ht="13.5" thickBot="1">
      <c r="A17" s="259"/>
      <c r="B17" s="1264"/>
      <c r="C17" s="1265"/>
      <c r="D17" s="1242"/>
      <c r="E17" s="1268"/>
      <c r="F17" s="1269"/>
      <c r="G17" s="1242"/>
      <c r="H17" s="1268"/>
      <c r="I17" s="1269"/>
      <c r="J17" s="1242"/>
      <c r="K17" s="1260"/>
      <c r="L17" s="1261"/>
      <c r="M17" s="1242"/>
      <c r="N17" s="1260"/>
      <c r="O17" s="1261"/>
      <c r="P17" s="1242"/>
    </row>
    <row r="18" spans="1:23" ht="16.5" thickBot="1">
      <c r="A18" s="829" t="s">
        <v>97</v>
      </c>
      <c r="B18" s="1250">
        <v>0</v>
      </c>
      <c r="C18" s="1251"/>
      <c r="D18" s="414">
        <f>B18/B9</f>
        <v>0</v>
      </c>
      <c r="E18" s="1256">
        <v>0</v>
      </c>
      <c r="F18" s="1257"/>
      <c r="G18" s="798">
        <f>E18/B9</f>
        <v>0</v>
      </c>
      <c r="H18" s="1256">
        <v>2</v>
      </c>
      <c r="I18" s="1257"/>
      <c r="J18" s="798">
        <f>H18/B9</f>
        <v>8.6956521739130432E-2</v>
      </c>
      <c r="K18" s="1256">
        <v>21</v>
      </c>
      <c r="L18" s="1257"/>
      <c r="M18" s="800">
        <f>K18/B9</f>
        <v>0.91304347826086951</v>
      </c>
      <c r="N18" s="1254">
        <v>23</v>
      </c>
      <c r="O18" s="1255"/>
      <c r="P18" s="799">
        <f>N18/B9</f>
        <v>1</v>
      </c>
    </row>
    <row r="19" spans="1:23" ht="16.5" thickBot="1">
      <c r="A19" s="829" t="s">
        <v>98</v>
      </c>
      <c r="B19" s="1250">
        <v>1</v>
      </c>
      <c r="C19" s="1251"/>
      <c r="D19" s="414">
        <f t="shared" ref="D19:D21" si="0">B19/B10</f>
        <v>4.5454545454545456E-2</v>
      </c>
      <c r="E19" s="1252">
        <v>0</v>
      </c>
      <c r="F19" s="1253"/>
      <c r="G19" s="798">
        <f t="shared" ref="G19:G21" si="1">E19/B10</f>
        <v>0</v>
      </c>
      <c r="H19" s="1252">
        <v>0</v>
      </c>
      <c r="I19" s="1253"/>
      <c r="J19" s="798">
        <f t="shared" ref="J19:J21" si="2">H19/B10</f>
        <v>0</v>
      </c>
      <c r="K19" s="1252">
        <v>22</v>
      </c>
      <c r="L19" s="1253"/>
      <c r="M19" s="800">
        <f t="shared" ref="M19:M21" si="3">K19/B10</f>
        <v>1</v>
      </c>
      <c r="N19" s="1254">
        <v>22</v>
      </c>
      <c r="O19" s="1255"/>
      <c r="P19" s="799">
        <f t="shared" ref="P19:P21" si="4">N19/B10</f>
        <v>1</v>
      </c>
    </row>
    <row r="20" spans="1:23" ht="16.5" thickBot="1">
      <c r="A20" s="829" t="s">
        <v>99</v>
      </c>
      <c r="B20" s="1250">
        <v>1</v>
      </c>
      <c r="C20" s="1251"/>
      <c r="D20" s="414">
        <f t="shared" si="0"/>
        <v>0.05</v>
      </c>
      <c r="E20" s="1252">
        <v>0</v>
      </c>
      <c r="F20" s="1253"/>
      <c r="G20" s="798">
        <f t="shared" si="1"/>
        <v>0</v>
      </c>
      <c r="H20" s="1252">
        <v>2</v>
      </c>
      <c r="I20" s="1253"/>
      <c r="J20" s="798">
        <f t="shared" si="2"/>
        <v>0.1</v>
      </c>
      <c r="K20" s="1252">
        <v>18</v>
      </c>
      <c r="L20" s="1253"/>
      <c r="M20" s="800">
        <f t="shared" si="3"/>
        <v>0.9</v>
      </c>
      <c r="N20" s="1254">
        <v>18</v>
      </c>
      <c r="O20" s="1255"/>
      <c r="P20" s="799">
        <f t="shared" si="4"/>
        <v>0.9</v>
      </c>
    </row>
    <row r="21" spans="1:23" ht="15.75" thickBot="1">
      <c r="A21" s="257" t="s">
        <v>0</v>
      </c>
      <c r="B21" s="1284">
        <f>SUM(B18:B20)</f>
        <v>2</v>
      </c>
      <c r="C21" s="1285"/>
      <c r="D21" s="802">
        <f t="shared" si="0"/>
        <v>3.0769230769230771E-2</v>
      </c>
      <c r="E21" s="1284">
        <f>SUM(E18:F20)</f>
        <v>0</v>
      </c>
      <c r="F21" s="1285"/>
      <c r="G21" s="845">
        <f t="shared" si="1"/>
        <v>0</v>
      </c>
      <c r="H21" s="1284">
        <f>SUM(H18:I20)</f>
        <v>4</v>
      </c>
      <c r="I21" s="1285"/>
      <c r="J21" s="845">
        <f t="shared" si="2"/>
        <v>6.1538461538461542E-2</v>
      </c>
      <c r="K21" s="1286">
        <f>SUM(K18:K20)</f>
        <v>61</v>
      </c>
      <c r="L21" s="1287"/>
      <c r="M21" s="846">
        <f t="shared" si="3"/>
        <v>0.93846153846153846</v>
      </c>
      <c r="N21" s="1288">
        <f>SUM(N18:O20)</f>
        <v>63</v>
      </c>
      <c r="O21" s="1287"/>
      <c r="P21" s="802">
        <f t="shared" si="4"/>
        <v>0.96923076923076923</v>
      </c>
    </row>
    <row r="22" spans="1:23">
      <c r="A22" t="s">
        <v>15</v>
      </c>
      <c r="B22" s="32"/>
      <c r="C22" s="1109"/>
      <c r="D22" s="1109"/>
      <c r="E22" s="1109"/>
      <c r="F22" s="1109"/>
      <c r="G22" s="1109"/>
      <c r="H22" s="1109"/>
      <c r="I22" s="1109"/>
      <c r="J22" s="1109"/>
      <c r="K22" s="1109"/>
      <c r="L22" s="1109"/>
    </row>
    <row r="24" spans="1:23">
      <c r="C24" s="17"/>
      <c r="D24" s="17"/>
      <c r="E24" s="17"/>
      <c r="F24" s="17"/>
      <c r="G24" s="17"/>
      <c r="H24" s="17"/>
      <c r="I24" s="17"/>
      <c r="J24" s="17"/>
      <c r="K24" s="17"/>
    </row>
    <row r="25" spans="1:23">
      <c r="C25" s="17"/>
      <c r="D25" s="17"/>
      <c r="E25" s="17"/>
      <c r="F25" s="17"/>
      <c r="G25" s="17"/>
      <c r="H25" s="17"/>
      <c r="I25" s="17"/>
      <c r="J25" s="17"/>
      <c r="K25" s="17"/>
    </row>
    <row r="26" spans="1:23">
      <c r="A26" s="1277" t="s">
        <v>490</v>
      </c>
      <c r="B26" s="1277"/>
      <c r="C26" s="1277"/>
      <c r="D26" s="1277"/>
      <c r="E26" s="1277"/>
      <c r="F26" s="1277"/>
      <c r="G26" s="1277"/>
      <c r="H26" s="1277"/>
      <c r="I26" s="1277"/>
      <c r="J26" s="1277"/>
      <c r="K26" s="1277"/>
      <c r="L26" s="1277"/>
      <c r="S26" s="132"/>
      <c r="T26" s="132"/>
      <c r="U26" s="132"/>
      <c r="V26" s="1130"/>
      <c r="W26" s="1128"/>
    </row>
    <row r="27" spans="1:23">
      <c r="A27" s="1277"/>
      <c r="B27" s="1277"/>
      <c r="C27" s="1277"/>
      <c r="D27" s="1277"/>
      <c r="E27" s="1277"/>
      <c r="F27" s="1277"/>
      <c r="G27" s="1277"/>
      <c r="H27" s="1277"/>
      <c r="I27" s="1277"/>
      <c r="J27" s="1277"/>
      <c r="K27" s="1277"/>
      <c r="L27" s="1277"/>
      <c r="S27" s="19"/>
      <c r="T27" s="19"/>
      <c r="U27" s="19"/>
      <c r="V27" s="19"/>
      <c r="W27" s="19"/>
    </row>
    <row r="28" spans="1:23" ht="13.5" thickBot="1"/>
    <row r="29" spans="1:23" ht="15.75" thickBot="1">
      <c r="A29" s="83"/>
      <c r="B29" s="105" t="s">
        <v>7</v>
      </c>
      <c r="C29" s="1279" t="s">
        <v>94</v>
      </c>
      <c r="D29" s="1289"/>
      <c r="E29" s="1290" t="s">
        <v>95</v>
      </c>
      <c r="F29" s="1289"/>
      <c r="G29" s="1290" t="s">
        <v>96</v>
      </c>
      <c r="H29" s="1289"/>
      <c r="I29" s="1290" t="s">
        <v>532</v>
      </c>
      <c r="J29" s="1289"/>
      <c r="K29" s="1290" t="s">
        <v>533</v>
      </c>
      <c r="L29" s="1289"/>
      <c r="M29" s="1283"/>
      <c r="N29" s="1283"/>
    </row>
    <row r="30" spans="1:23" ht="14.25" thickBot="1">
      <c r="A30" s="106" t="s">
        <v>26</v>
      </c>
      <c r="B30" s="106" t="s">
        <v>19</v>
      </c>
      <c r="C30" s="85" t="s">
        <v>18</v>
      </c>
      <c r="D30" s="85" t="s">
        <v>17</v>
      </c>
      <c r="E30" s="85" t="s">
        <v>18</v>
      </c>
      <c r="F30" s="85" t="s">
        <v>17</v>
      </c>
      <c r="G30" s="85" t="s">
        <v>18</v>
      </c>
      <c r="H30" s="85" t="s">
        <v>17</v>
      </c>
      <c r="I30" s="85" t="s">
        <v>18</v>
      </c>
      <c r="J30" s="85" t="s">
        <v>17</v>
      </c>
      <c r="K30" s="85" t="s">
        <v>18</v>
      </c>
      <c r="L30" s="85" t="s">
        <v>17</v>
      </c>
      <c r="M30" s="1283"/>
      <c r="N30" s="1283"/>
    </row>
    <row r="31" spans="1:23" ht="15" thickBot="1">
      <c r="A31" s="84"/>
      <c r="B31" s="107" t="s">
        <v>16</v>
      </c>
      <c r="C31" s="90" t="s">
        <v>323</v>
      </c>
      <c r="D31" s="90" t="s">
        <v>324</v>
      </c>
      <c r="E31" s="90" t="s">
        <v>323</v>
      </c>
      <c r="F31" s="90" t="s">
        <v>324</v>
      </c>
      <c r="G31" s="90" t="s">
        <v>323</v>
      </c>
      <c r="H31" s="90" t="s">
        <v>324</v>
      </c>
      <c r="I31" s="90" t="s">
        <v>323</v>
      </c>
      <c r="J31" s="90" t="s">
        <v>324</v>
      </c>
      <c r="K31" s="90" t="s">
        <v>323</v>
      </c>
      <c r="L31" s="90" t="s">
        <v>324</v>
      </c>
      <c r="M31" s="1283"/>
      <c r="N31" s="1283"/>
    </row>
    <row r="32" spans="1:23" ht="18.75" thickBot="1">
      <c r="A32" s="88" t="s">
        <v>97</v>
      </c>
      <c r="B32" s="89">
        <v>22</v>
      </c>
      <c r="C32" s="93">
        <v>15</v>
      </c>
      <c r="D32" s="94">
        <f>(C32/B32)</f>
        <v>0.68181818181818177</v>
      </c>
      <c r="E32" s="93">
        <v>15</v>
      </c>
      <c r="F32" s="94">
        <f>(E32/B32)</f>
        <v>0.68181818181818177</v>
      </c>
      <c r="G32" s="93">
        <v>22</v>
      </c>
      <c r="H32" s="94">
        <f>(G32/B32)</f>
        <v>1</v>
      </c>
      <c r="I32" s="93">
        <v>11</v>
      </c>
      <c r="J32" s="94">
        <f>(I32/B32)</f>
        <v>0.5</v>
      </c>
      <c r="K32" s="93">
        <v>20</v>
      </c>
      <c r="L32" s="94">
        <f>(K32/B32)</f>
        <v>0.90909090909090906</v>
      </c>
      <c r="M32" s="834"/>
      <c r="N32" s="835"/>
    </row>
    <row r="33" spans="1:16" ht="18.75" thickBot="1">
      <c r="A33" s="88" t="s">
        <v>98</v>
      </c>
      <c r="B33" s="1038">
        <v>22</v>
      </c>
      <c r="C33" s="806">
        <v>17</v>
      </c>
      <c r="D33" s="807">
        <f>(C33/B33)</f>
        <v>0.77272727272727271</v>
      </c>
      <c r="E33" s="806">
        <v>20</v>
      </c>
      <c r="F33" s="807">
        <f>(E33/B33)</f>
        <v>0.90909090909090906</v>
      </c>
      <c r="G33" s="806">
        <v>19</v>
      </c>
      <c r="H33" s="807">
        <f>(G33/B33)</f>
        <v>0.86363636363636365</v>
      </c>
      <c r="I33" s="806">
        <v>22</v>
      </c>
      <c r="J33" s="807">
        <f>(I33/B33)</f>
        <v>1</v>
      </c>
      <c r="K33" s="806">
        <v>22</v>
      </c>
      <c r="L33" s="807">
        <f>(K33/B33)</f>
        <v>1</v>
      </c>
      <c r="M33" s="834"/>
      <c r="N33" s="835"/>
    </row>
    <row r="34" spans="1:16" ht="18.75" thickBot="1">
      <c r="A34" s="88" t="s">
        <v>99</v>
      </c>
      <c r="B34" s="1038">
        <v>22</v>
      </c>
      <c r="C34" s="806">
        <v>19</v>
      </c>
      <c r="D34" s="807">
        <f>(C34/B34)</f>
        <v>0.86363636363636365</v>
      </c>
      <c r="E34" s="806">
        <v>19</v>
      </c>
      <c r="F34" s="807">
        <f>(E34/B34)</f>
        <v>0.86363636363636365</v>
      </c>
      <c r="G34" s="806">
        <v>21</v>
      </c>
      <c r="H34" s="807">
        <f>(G34/B34)</f>
        <v>0.95454545454545459</v>
      </c>
      <c r="I34" s="806">
        <v>20</v>
      </c>
      <c r="J34" s="807">
        <f>(I34/B34)</f>
        <v>0.90909090909090906</v>
      </c>
      <c r="K34" s="806">
        <v>21</v>
      </c>
      <c r="L34" s="807">
        <f>(K34/B34)</f>
        <v>0.95454545454545459</v>
      </c>
      <c r="M34" s="834"/>
      <c r="N34" s="835"/>
    </row>
    <row r="35" spans="1:16" ht="17.25" thickBot="1">
      <c r="A35" s="86" t="s">
        <v>0</v>
      </c>
      <c r="B35" s="87">
        <f>SUM(B32:B34)</f>
        <v>66</v>
      </c>
      <c r="C35" s="91">
        <f>SUM(C32:C34)</f>
        <v>51</v>
      </c>
      <c r="D35" s="92">
        <f>(C35/B35)</f>
        <v>0.77272727272727271</v>
      </c>
      <c r="E35" s="87">
        <f>SUM(E32:E34)</f>
        <v>54</v>
      </c>
      <c r="F35" s="92">
        <f>(E35/B35)</f>
        <v>0.81818181818181823</v>
      </c>
      <c r="G35" s="87">
        <f>SUM(G32:G34)</f>
        <v>62</v>
      </c>
      <c r="H35" s="92">
        <f>(G35/B35)</f>
        <v>0.93939393939393945</v>
      </c>
      <c r="I35" s="87">
        <f>SUM(I32:I34)</f>
        <v>53</v>
      </c>
      <c r="J35" s="92">
        <f>(I35/B35)</f>
        <v>0.80303030303030298</v>
      </c>
      <c r="K35" s="91">
        <f>SUM(K32:K34)</f>
        <v>63</v>
      </c>
      <c r="L35" s="92">
        <f>(K35/B35)</f>
        <v>0.95454545454545459</v>
      </c>
      <c r="M35" s="836"/>
      <c r="N35" s="837"/>
    </row>
    <row r="37" spans="1:16" ht="13.5" thickBot="1"/>
    <row r="38" spans="1:16" ht="16.5" customHeight="1" thickBot="1">
      <c r="B38" s="1270" t="s">
        <v>545</v>
      </c>
      <c r="C38" s="1271"/>
      <c r="D38" s="1272"/>
      <c r="E38" s="1273" t="s">
        <v>549</v>
      </c>
      <c r="F38" s="1274"/>
      <c r="G38" s="1275"/>
      <c r="H38" s="1273" t="s">
        <v>547</v>
      </c>
      <c r="I38" s="1274"/>
      <c r="J38" s="1275"/>
      <c r="K38" s="1273" t="s">
        <v>548</v>
      </c>
      <c r="L38" s="1274"/>
      <c r="M38" s="1275"/>
      <c r="N38" s="1273" t="s">
        <v>283</v>
      </c>
      <c r="O38" s="1274"/>
      <c r="P38" s="1275"/>
    </row>
    <row r="39" spans="1:16" ht="15.75" thickBot="1">
      <c r="A39" s="258"/>
      <c r="B39" s="1262" t="s">
        <v>546</v>
      </c>
      <c r="C39" s="1263"/>
      <c r="D39" s="1240" t="s">
        <v>147</v>
      </c>
      <c r="E39" s="1266" t="s">
        <v>546</v>
      </c>
      <c r="F39" s="1267"/>
      <c r="G39" s="1241" t="s">
        <v>147</v>
      </c>
      <c r="H39" s="1266" t="s">
        <v>546</v>
      </c>
      <c r="I39" s="1267"/>
      <c r="J39" s="1241" t="s">
        <v>147</v>
      </c>
      <c r="K39" s="1258" t="s">
        <v>546</v>
      </c>
      <c r="L39" s="1259"/>
      <c r="M39" s="1241" t="s">
        <v>147</v>
      </c>
      <c r="N39" s="1258" t="s">
        <v>546</v>
      </c>
      <c r="O39" s="1259"/>
      <c r="P39" s="1241" t="s">
        <v>147</v>
      </c>
    </row>
    <row r="40" spans="1:16" ht="13.5" thickBot="1">
      <c r="A40" s="259"/>
      <c r="B40" s="1264"/>
      <c r="C40" s="1265"/>
      <c r="D40" s="1242"/>
      <c r="E40" s="1268"/>
      <c r="F40" s="1269"/>
      <c r="G40" s="1242"/>
      <c r="H40" s="1268"/>
      <c r="I40" s="1269"/>
      <c r="J40" s="1242"/>
      <c r="K40" s="1260"/>
      <c r="L40" s="1261"/>
      <c r="M40" s="1242"/>
      <c r="N40" s="1260"/>
      <c r="O40" s="1261"/>
      <c r="P40" s="1242"/>
    </row>
    <row r="41" spans="1:16" ht="16.5" thickBot="1">
      <c r="A41" s="829" t="s">
        <v>97</v>
      </c>
      <c r="B41" s="1250">
        <v>0</v>
      </c>
      <c r="C41" s="1251"/>
      <c r="D41" s="414">
        <f>B41/B32</f>
        <v>0</v>
      </c>
      <c r="E41" s="1256">
        <v>0</v>
      </c>
      <c r="F41" s="1257"/>
      <c r="G41" s="798">
        <f>E41/B32</f>
        <v>0</v>
      </c>
      <c r="H41" s="1256">
        <v>0</v>
      </c>
      <c r="I41" s="1257"/>
      <c r="J41" s="798">
        <f>H41/B32</f>
        <v>0</v>
      </c>
      <c r="K41" s="1256">
        <v>8</v>
      </c>
      <c r="L41" s="1257"/>
      <c r="M41" s="800">
        <f>K41/B32</f>
        <v>0.36363636363636365</v>
      </c>
      <c r="N41" s="1254">
        <v>21</v>
      </c>
      <c r="O41" s="1255"/>
      <c r="P41" s="799">
        <f>N41/B32</f>
        <v>0.95454545454545459</v>
      </c>
    </row>
    <row r="42" spans="1:16" ht="16.5" thickBot="1">
      <c r="A42" s="829" t="s">
        <v>98</v>
      </c>
      <c r="B42" s="1293">
        <v>0</v>
      </c>
      <c r="C42" s="1294"/>
      <c r="D42" s="414">
        <f t="shared" ref="D42:D44" si="5">B42/B33</f>
        <v>0</v>
      </c>
      <c r="E42" s="1295">
        <v>0</v>
      </c>
      <c r="F42" s="1296"/>
      <c r="G42" s="798">
        <f t="shared" ref="G42:G43" si="6">E42/B33</f>
        <v>0</v>
      </c>
      <c r="H42" s="1295">
        <v>6</v>
      </c>
      <c r="I42" s="1296"/>
      <c r="J42" s="798">
        <f t="shared" ref="J42:J43" si="7">H42/B33</f>
        <v>0.27272727272727271</v>
      </c>
      <c r="K42" s="1295">
        <v>15</v>
      </c>
      <c r="L42" s="1296"/>
      <c r="M42" s="800">
        <f t="shared" ref="M42:M43" si="8">K42/B33</f>
        <v>0.68181818181818177</v>
      </c>
      <c r="N42" s="1254">
        <v>21</v>
      </c>
      <c r="O42" s="1255"/>
      <c r="P42" s="799">
        <f t="shared" ref="P42:P43" si="9">N42/B33</f>
        <v>0.95454545454545459</v>
      </c>
    </row>
    <row r="43" spans="1:16" ht="16.5" thickBot="1">
      <c r="A43" s="829" t="s">
        <v>99</v>
      </c>
      <c r="B43" s="1293">
        <v>0</v>
      </c>
      <c r="C43" s="1294"/>
      <c r="D43" s="414">
        <f t="shared" si="5"/>
        <v>0</v>
      </c>
      <c r="E43" s="1295">
        <v>0</v>
      </c>
      <c r="F43" s="1296"/>
      <c r="G43" s="798">
        <f t="shared" si="6"/>
        <v>0</v>
      </c>
      <c r="H43" s="1295">
        <v>4</v>
      </c>
      <c r="I43" s="1296"/>
      <c r="J43" s="798">
        <f t="shared" si="7"/>
        <v>0.18181818181818182</v>
      </c>
      <c r="K43" s="1295">
        <v>19</v>
      </c>
      <c r="L43" s="1296"/>
      <c r="M43" s="800">
        <f t="shared" si="8"/>
        <v>0.86363636363636365</v>
      </c>
      <c r="N43" s="1254">
        <v>20</v>
      </c>
      <c r="O43" s="1255"/>
      <c r="P43" s="799">
        <f t="shared" si="9"/>
        <v>0.90909090909090906</v>
      </c>
    </row>
    <row r="44" spans="1:16" ht="15.75" thickBot="1">
      <c r="A44" s="257" t="s">
        <v>0</v>
      </c>
      <c r="B44" s="1246">
        <f>SUM(B41:B43)</f>
        <v>0</v>
      </c>
      <c r="C44" s="1247"/>
      <c r="D44" s="802">
        <f t="shared" si="5"/>
        <v>0</v>
      </c>
      <c r="E44" s="1246">
        <f>SUM(E41:F43)</f>
        <v>0</v>
      </c>
      <c r="F44" s="1247"/>
      <c r="G44" s="194">
        <f>E44/B35</f>
        <v>0</v>
      </c>
      <c r="H44" s="1246">
        <f>SUM(H41:I43)</f>
        <v>10</v>
      </c>
      <c r="I44" s="1247"/>
      <c r="J44" s="194">
        <f>H44/B35</f>
        <v>0.15151515151515152</v>
      </c>
      <c r="K44" s="1248">
        <f>SUM(K41:K43)</f>
        <v>42</v>
      </c>
      <c r="L44" s="1249"/>
      <c r="M44" s="801">
        <f>K44/B35</f>
        <v>0.63636363636363635</v>
      </c>
      <c r="N44" s="1276">
        <f>SUM(N41:O43)</f>
        <v>62</v>
      </c>
      <c r="O44" s="1249"/>
      <c r="P44" s="802">
        <f>N44/B35</f>
        <v>0.93939393939393945</v>
      </c>
    </row>
    <row r="45" spans="1:16">
      <c r="C45" s="1109"/>
      <c r="D45" s="1109"/>
      <c r="E45" s="1109"/>
      <c r="F45" s="1109"/>
      <c r="G45" s="1109"/>
      <c r="H45" s="1109"/>
      <c r="I45" s="1109"/>
      <c r="J45" s="1109"/>
      <c r="K45" s="1109"/>
      <c r="L45" s="1109"/>
    </row>
  </sheetData>
  <mergeCells count="87">
    <mergeCell ref="B44:C44"/>
    <mergeCell ref="E44:F44"/>
    <mergeCell ref="H44:I44"/>
    <mergeCell ref="K44:L44"/>
    <mergeCell ref="N44:O44"/>
    <mergeCell ref="B43:C43"/>
    <mergeCell ref="E43:F43"/>
    <mergeCell ref="H43:I43"/>
    <mergeCell ref="K43:L43"/>
    <mergeCell ref="N43:O43"/>
    <mergeCell ref="B42:C42"/>
    <mergeCell ref="E42:F42"/>
    <mergeCell ref="H42:I42"/>
    <mergeCell ref="K42:L42"/>
    <mergeCell ref="N42:O42"/>
    <mergeCell ref="M39:M40"/>
    <mergeCell ref="N39:O40"/>
    <mergeCell ref="P39:P40"/>
    <mergeCell ref="B41:C41"/>
    <mergeCell ref="E41:F41"/>
    <mergeCell ref="H41:I41"/>
    <mergeCell ref="K41:L41"/>
    <mergeCell ref="N41:O41"/>
    <mergeCell ref="B39:C40"/>
    <mergeCell ref="D39:D40"/>
    <mergeCell ref="E39:F40"/>
    <mergeCell ref="G39:G40"/>
    <mergeCell ref="H39:I40"/>
    <mergeCell ref="J39:J40"/>
    <mergeCell ref="K39:L40"/>
    <mergeCell ref="B38:D38"/>
    <mergeCell ref="E38:G38"/>
    <mergeCell ref="H38:J38"/>
    <mergeCell ref="K38:M38"/>
    <mergeCell ref="N38:P38"/>
    <mergeCell ref="N18:O18"/>
    <mergeCell ref="N20:O20"/>
    <mergeCell ref="B21:C21"/>
    <mergeCell ref="E21:F21"/>
    <mergeCell ref="H21:I21"/>
    <mergeCell ref="K21:L21"/>
    <mergeCell ref="N21:O21"/>
    <mergeCell ref="M6:M8"/>
    <mergeCell ref="N6:N8"/>
    <mergeCell ref="A26:L27"/>
    <mergeCell ref="B15:D15"/>
    <mergeCell ref="E15:G15"/>
    <mergeCell ref="H15:J15"/>
    <mergeCell ref="K15:M15"/>
    <mergeCell ref="N15:P15"/>
    <mergeCell ref="B16:C17"/>
    <mergeCell ref="D16:D17"/>
    <mergeCell ref="E16:F17"/>
    <mergeCell ref="G16:G17"/>
    <mergeCell ref="H16:I17"/>
    <mergeCell ref="J16:J17"/>
    <mergeCell ref="P16:P17"/>
    <mergeCell ref="B18:C18"/>
    <mergeCell ref="M29:M31"/>
    <mergeCell ref="N29:N31"/>
    <mergeCell ref="E6:F6"/>
    <mergeCell ref="G6:H6"/>
    <mergeCell ref="I6:J6"/>
    <mergeCell ref="K6:L6"/>
    <mergeCell ref="G29:H29"/>
    <mergeCell ref="K16:L17"/>
    <mergeCell ref="M16:M17"/>
    <mergeCell ref="N16:O17"/>
    <mergeCell ref="E19:F19"/>
    <mergeCell ref="H19:I19"/>
    <mergeCell ref="K19:L19"/>
    <mergeCell ref="N19:O19"/>
    <mergeCell ref="E20:F20"/>
    <mergeCell ref="H20:I20"/>
    <mergeCell ref="A1:L2"/>
    <mergeCell ref="A3:J4"/>
    <mergeCell ref="C6:D6"/>
    <mergeCell ref="C29:D29"/>
    <mergeCell ref="E29:F29"/>
    <mergeCell ref="I29:J29"/>
    <mergeCell ref="K29:L29"/>
    <mergeCell ref="B19:C19"/>
    <mergeCell ref="B20:C20"/>
    <mergeCell ref="K20:L20"/>
    <mergeCell ref="E18:F18"/>
    <mergeCell ref="H18:I18"/>
    <mergeCell ref="K18:L18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useFirstPageNumber="1" r:id="rId1"/>
  <headerFooter>
    <oddHeader>&amp;L&amp;"Trebuchet MS,Negrito"&amp;12&amp;K01+014AGRUPAMENTO DE ESCOLAS MIGUEL TORGA&amp;C
&amp;R&amp;"Trebuchet MS,Negrito itálico"&amp;12AUTOAVALIAÇÃO
3ºPeríodo  2012/13
Tabela IV</oddHeader>
    <oddFooter>&amp;C
&amp;G&amp;R5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Y46"/>
  <sheetViews>
    <sheetView showGridLines="0" topLeftCell="A7" zoomScale="84" zoomScaleNormal="84" workbookViewId="0">
      <selection activeCell="S30" sqref="S30"/>
    </sheetView>
  </sheetViews>
  <sheetFormatPr defaultRowHeight="12.75"/>
  <cols>
    <col min="1" max="1" width="7.85546875" customWidth="1"/>
    <col min="2" max="10" width="8" customWidth="1"/>
    <col min="11" max="11" width="7.140625" customWidth="1"/>
    <col min="12" max="12" width="8.28515625" customWidth="1"/>
    <col min="13" max="13" width="5.7109375" customWidth="1"/>
    <col min="14" max="14" width="7.85546875" customWidth="1"/>
    <col min="15" max="15" width="7.7109375" customWidth="1"/>
    <col min="16" max="28" width="5.7109375" customWidth="1"/>
  </cols>
  <sheetData>
    <row r="1" spans="1:22" ht="12.75" customHeight="1">
      <c r="A1" s="1291" t="s">
        <v>117</v>
      </c>
      <c r="B1" s="1291"/>
      <c r="C1" s="1291"/>
      <c r="D1" s="1291"/>
      <c r="E1" s="1291"/>
      <c r="F1" s="1291"/>
      <c r="G1" s="1291"/>
      <c r="H1" s="1291"/>
      <c r="I1" s="1291"/>
      <c r="J1" s="1291"/>
      <c r="K1" s="1291"/>
      <c r="L1" s="1291"/>
    </row>
    <row r="2" spans="1:22" ht="12.75" customHeight="1">
      <c r="A2" s="1291"/>
      <c r="B2" s="1291"/>
      <c r="C2" s="1291"/>
      <c r="D2" s="1291"/>
      <c r="E2" s="1291"/>
      <c r="F2" s="1291"/>
      <c r="G2" s="1291"/>
      <c r="H2" s="1291"/>
      <c r="I2" s="1291"/>
      <c r="J2" s="1291"/>
      <c r="K2" s="1291"/>
      <c r="L2" s="1291"/>
    </row>
    <row r="3" spans="1:22" ht="12.75" customHeight="1">
      <c r="A3" s="1291" t="s">
        <v>491</v>
      </c>
      <c r="B3" s="1291"/>
      <c r="C3" s="1291"/>
      <c r="D3" s="1291"/>
      <c r="E3" s="1291"/>
      <c r="F3" s="1291"/>
      <c r="G3" s="1291"/>
      <c r="H3" s="1291"/>
      <c r="I3" s="1291"/>
      <c r="J3" s="1291"/>
    </row>
    <row r="4" spans="1:22" ht="12.75" customHeight="1">
      <c r="A4" s="1291"/>
      <c r="B4" s="1291"/>
      <c r="C4" s="1291"/>
      <c r="D4" s="1291"/>
      <c r="E4" s="1291"/>
      <c r="F4" s="1291"/>
      <c r="G4" s="1291"/>
      <c r="H4" s="1291"/>
      <c r="I4" s="1291"/>
      <c r="J4" s="1291"/>
    </row>
    <row r="5" spans="1:22" ht="12.75" customHeight="1" thickBot="1">
      <c r="A5" s="103"/>
      <c r="B5" s="103"/>
      <c r="C5" s="104"/>
      <c r="D5" s="104"/>
      <c r="E5" s="104"/>
      <c r="F5" s="104"/>
      <c r="G5" s="104"/>
      <c r="H5" s="104"/>
      <c r="I5" s="104"/>
      <c r="J5" s="104"/>
      <c r="K5" s="104"/>
      <c r="L5" s="104"/>
    </row>
    <row r="6" spans="1:22" ht="15.75" thickBot="1">
      <c r="A6" s="83"/>
      <c r="B6" s="105" t="s">
        <v>7</v>
      </c>
      <c r="C6" s="1279" t="s">
        <v>94</v>
      </c>
      <c r="D6" s="1289"/>
      <c r="E6" s="1290" t="s">
        <v>95</v>
      </c>
      <c r="F6" s="1289"/>
      <c r="G6" s="1290" t="s">
        <v>96</v>
      </c>
      <c r="H6" s="1289"/>
      <c r="I6" s="1290" t="s">
        <v>532</v>
      </c>
      <c r="J6" s="1289"/>
      <c r="K6" s="1290" t="s">
        <v>533</v>
      </c>
      <c r="L6" s="1289"/>
      <c r="M6" s="1283"/>
      <c r="N6" s="1283"/>
    </row>
    <row r="7" spans="1:22" ht="15.75" customHeight="1" thickBot="1">
      <c r="A7" s="106" t="s">
        <v>26</v>
      </c>
      <c r="B7" s="106" t="s">
        <v>19</v>
      </c>
      <c r="C7" s="85" t="s">
        <v>18</v>
      </c>
      <c r="D7" s="85" t="s">
        <v>17</v>
      </c>
      <c r="E7" s="85" t="s">
        <v>18</v>
      </c>
      <c r="F7" s="85" t="s">
        <v>17</v>
      </c>
      <c r="G7" s="85" t="s">
        <v>18</v>
      </c>
      <c r="H7" s="85" t="s">
        <v>17</v>
      </c>
      <c r="I7" s="85" t="s">
        <v>18</v>
      </c>
      <c r="J7" s="85" t="s">
        <v>17</v>
      </c>
      <c r="K7" s="85" t="s">
        <v>18</v>
      </c>
      <c r="L7" s="85" t="s">
        <v>17</v>
      </c>
      <c r="M7" s="1283"/>
      <c r="N7" s="1283"/>
    </row>
    <row r="8" spans="1:22" ht="14.25" customHeight="1" thickBot="1">
      <c r="A8" s="84"/>
      <c r="B8" s="107" t="s">
        <v>16</v>
      </c>
      <c r="C8" s="90" t="s">
        <v>323</v>
      </c>
      <c r="D8" s="90" t="s">
        <v>324</v>
      </c>
      <c r="E8" s="90" t="s">
        <v>323</v>
      </c>
      <c r="F8" s="90" t="s">
        <v>324</v>
      </c>
      <c r="G8" s="90" t="s">
        <v>323</v>
      </c>
      <c r="H8" s="90" t="s">
        <v>324</v>
      </c>
      <c r="I8" s="90" t="s">
        <v>323</v>
      </c>
      <c r="J8" s="90" t="s">
        <v>324</v>
      </c>
      <c r="K8" s="90" t="s">
        <v>323</v>
      </c>
      <c r="L8" s="90" t="s">
        <v>324</v>
      </c>
      <c r="M8" s="1283"/>
      <c r="N8" s="1283"/>
    </row>
    <row r="9" spans="1:22" ht="18.75" thickBot="1">
      <c r="A9" s="88" t="s">
        <v>97</v>
      </c>
      <c r="B9" s="89">
        <v>24</v>
      </c>
      <c r="C9" s="93">
        <v>19</v>
      </c>
      <c r="D9" s="94">
        <f>(C9/B9)</f>
        <v>0.79166666666666663</v>
      </c>
      <c r="E9" s="93">
        <v>20</v>
      </c>
      <c r="F9" s="94">
        <f>(E9/B9)</f>
        <v>0.83333333333333337</v>
      </c>
      <c r="G9" s="93">
        <v>20</v>
      </c>
      <c r="H9" s="94">
        <f>(G9/B9)</f>
        <v>0.83333333333333337</v>
      </c>
      <c r="I9" s="93">
        <v>20</v>
      </c>
      <c r="J9" s="94">
        <f>(I9/B9)</f>
        <v>0.83333333333333337</v>
      </c>
      <c r="K9" s="93">
        <v>20</v>
      </c>
      <c r="L9" s="94">
        <f>(K9/B9)</f>
        <v>0.83333333333333337</v>
      </c>
      <c r="M9" s="834"/>
      <c r="N9" s="835"/>
    </row>
    <row r="10" spans="1:22" ht="18.75" thickBot="1">
      <c r="A10" s="88" t="s">
        <v>98</v>
      </c>
      <c r="B10" s="1036">
        <v>26</v>
      </c>
      <c r="C10" s="93">
        <v>23</v>
      </c>
      <c r="D10" s="94">
        <f>(C10/B10)</f>
        <v>0.88461538461538458</v>
      </c>
      <c r="E10" s="93">
        <v>19</v>
      </c>
      <c r="F10" s="94">
        <f>(E10/B10)</f>
        <v>0.73076923076923073</v>
      </c>
      <c r="G10" s="93">
        <v>22</v>
      </c>
      <c r="H10" s="94">
        <f>(G10/B10)</f>
        <v>0.84615384615384615</v>
      </c>
      <c r="I10" s="93">
        <v>24</v>
      </c>
      <c r="J10" s="94">
        <f>(I10/B10)</f>
        <v>0.92307692307692313</v>
      </c>
      <c r="K10" s="93">
        <v>26</v>
      </c>
      <c r="L10" s="94">
        <f>(K10/B10)</f>
        <v>1</v>
      </c>
      <c r="M10" s="834"/>
      <c r="N10" s="835"/>
    </row>
    <row r="11" spans="1:22" ht="18.75" thickBot="1">
      <c r="A11" s="88" t="s">
        <v>99</v>
      </c>
      <c r="B11" s="1036">
        <v>24</v>
      </c>
      <c r="C11" s="93">
        <v>23</v>
      </c>
      <c r="D11" s="94">
        <f>(C11/B11)</f>
        <v>0.95833333333333337</v>
      </c>
      <c r="E11" s="93">
        <v>23</v>
      </c>
      <c r="F11" s="94">
        <f>(E11/B11)</f>
        <v>0.95833333333333337</v>
      </c>
      <c r="G11" s="93">
        <v>24</v>
      </c>
      <c r="H11" s="94">
        <f>(G11/B11)</f>
        <v>1</v>
      </c>
      <c r="I11" s="93">
        <v>24</v>
      </c>
      <c r="J11" s="94">
        <f>(I11/B11)</f>
        <v>1</v>
      </c>
      <c r="K11" s="93">
        <v>24</v>
      </c>
      <c r="L11" s="94">
        <f>(K11/B11)</f>
        <v>1</v>
      </c>
      <c r="M11" s="834"/>
      <c r="N11" s="835"/>
    </row>
    <row r="12" spans="1:22" ht="17.25" thickBot="1">
      <c r="A12" s="86" t="s">
        <v>0</v>
      </c>
      <c r="B12" s="1037">
        <f>SUM(B9:B11)</f>
        <v>74</v>
      </c>
      <c r="C12" s="840">
        <f>SUM(C9:C11)</f>
        <v>65</v>
      </c>
      <c r="D12" s="841">
        <f>(C12/B12)</f>
        <v>0.8783783783783784</v>
      </c>
      <c r="E12" s="842">
        <f>SUM(E9:E11)</f>
        <v>62</v>
      </c>
      <c r="F12" s="841">
        <f>(E12/B12)</f>
        <v>0.83783783783783783</v>
      </c>
      <c r="G12" s="842">
        <f>SUM(G9:G11)</f>
        <v>66</v>
      </c>
      <c r="H12" s="841">
        <f>(G12/B12)</f>
        <v>0.89189189189189189</v>
      </c>
      <c r="I12" s="842">
        <f>SUM(I9:I11)</f>
        <v>68</v>
      </c>
      <c r="J12" s="841">
        <f>(I12/B12)</f>
        <v>0.91891891891891897</v>
      </c>
      <c r="K12" s="842">
        <f>SUM(K9:K11)</f>
        <v>70</v>
      </c>
      <c r="L12" s="843">
        <f>(K12/B12)</f>
        <v>0.94594594594594594</v>
      </c>
      <c r="M12" s="839"/>
      <c r="N12" s="837"/>
    </row>
    <row r="13" spans="1:22" ht="13.5" thickBot="1"/>
    <row r="14" spans="1:22" ht="11.25" customHeight="1" thickBot="1">
      <c r="K14" s="1299" t="s">
        <v>631</v>
      </c>
      <c r="L14" s="1300"/>
      <c r="M14" s="1300"/>
      <c r="N14" s="1307" t="s">
        <v>632</v>
      </c>
      <c r="O14" s="1316"/>
      <c r="P14" s="1316"/>
      <c r="Q14" s="1316"/>
      <c r="R14" s="1316"/>
      <c r="S14" s="1316"/>
      <c r="T14" s="1316"/>
      <c r="U14" s="1316"/>
      <c r="V14" s="1317"/>
    </row>
    <row r="15" spans="1:22" ht="29.25" customHeight="1" thickBot="1">
      <c r="B15" s="1270" t="s">
        <v>545</v>
      </c>
      <c r="C15" s="1271"/>
      <c r="D15" s="1272"/>
      <c r="E15" s="1273" t="s">
        <v>549</v>
      </c>
      <c r="F15" s="1274"/>
      <c r="G15" s="1275"/>
      <c r="H15" s="1273" t="s">
        <v>547</v>
      </c>
      <c r="I15" s="1274"/>
      <c r="J15" s="1275"/>
      <c r="K15" s="1304" t="s">
        <v>548</v>
      </c>
      <c r="L15" s="1304"/>
      <c r="M15" s="1304"/>
      <c r="N15" s="1334" t="s">
        <v>548</v>
      </c>
      <c r="O15" s="1335"/>
      <c r="P15" s="1336"/>
      <c r="Q15" s="1331" t="s">
        <v>283</v>
      </c>
      <c r="R15" s="1332"/>
      <c r="S15" s="1333"/>
      <c r="T15" s="1331" t="s">
        <v>634</v>
      </c>
      <c r="U15" s="1332"/>
      <c r="V15" s="1333"/>
    </row>
    <row r="16" spans="1:22" ht="15.75" customHeight="1" thickBot="1">
      <c r="A16" s="258"/>
      <c r="B16" s="1262" t="s">
        <v>546</v>
      </c>
      <c r="C16" s="1263"/>
      <c r="D16" s="1240" t="s">
        <v>147</v>
      </c>
      <c r="E16" s="1266" t="s">
        <v>546</v>
      </c>
      <c r="F16" s="1267"/>
      <c r="G16" s="1241" t="s">
        <v>147</v>
      </c>
      <c r="H16" s="1266" t="s">
        <v>546</v>
      </c>
      <c r="I16" s="1267"/>
      <c r="J16" s="1241" t="s">
        <v>147</v>
      </c>
      <c r="K16" s="1297" t="s">
        <v>546</v>
      </c>
      <c r="L16" s="1297"/>
      <c r="M16" s="1298" t="s">
        <v>147</v>
      </c>
      <c r="N16" s="1318" t="s">
        <v>546</v>
      </c>
      <c r="O16" s="1319"/>
      <c r="P16" s="1314" t="s">
        <v>147</v>
      </c>
      <c r="Q16" s="1318" t="s">
        <v>546</v>
      </c>
      <c r="R16" s="1319"/>
      <c r="S16" s="1314" t="s">
        <v>147</v>
      </c>
      <c r="T16" s="1318" t="s">
        <v>546</v>
      </c>
      <c r="U16" s="1319"/>
      <c r="V16" s="1314" t="s">
        <v>147</v>
      </c>
    </row>
    <row r="17" spans="1:22" ht="13.5" customHeight="1" thickBot="1">
      <c r="A17" s="259"/>
      <c r="B17" s="1264"/>
      <c r="C17" s="1265"/>
      <c r="D17" s="1242"/>
      <c r="E17" s="1268"/>
      <c r="F17" s="1269"/>
      <c r="G17" s="1242"/>
      <c r="H17" s="1268"/>
      <c r="I17" s="1269"/>
      <c r="J17" s="1242"/>
      <c r="K17" s="1297"/>
      <c r="L17" s="1297"/>
      <c r="M17" s="1298"/>
      <c r="N17" s="1320"/>
      <c r="O17" s="1321"/>
      <c r="P17" s="1315"/>
      <c r="Q17" s="1320"/>
      <c r="R17" s="1321"/>
      <c r="S17" s="1315"/>
      <c r="T17" s="1320"/>
      <c r="U17" s="1321"/>
      <c r="V17" s="1315"/>
    </row>
    <row r="18" spans="1:22" ht="16.5" thickBot="1">
      <c r="A18" s="829" t="s">
        <v>97</v>
      </c>
      <c r="B18" s="1250">
        <v>0</v>
      </c>
      <c r="C18" s="1251"/>
      <c r="D18" s="414">
        <f>B18/B9</f>
        <v>0</v>
      </c>
      <c r="E18" s="1256">
        <v>0</v>
      </c>
      <c r="F18" s="1257"/>
      <c r="G18" s="798">
        <f>E18/B9</f>
        <v>0</v>
      </c>
      <c r="H18" s="1256">
        <v>0</v>
      </c>
      <c r="I18" s="1257"/>
      <c r="J18" s="798">
        <f>H18/B9</f>
        <v>0</v>
      </c>
      <c r="K18" s="1301">
        <v>19</v>
      </c>
      <c r="L18" s="1301"/>
      <c r="M18" s="1198">
        <f>K18/B9</f>
        <v>0.79166666666666663</v>
      </c>
      <c r="N18" s="1326">
        <v>19</v>
      </c>
      <c r="O18" s="1327"/>
      <c r="P18" s="1192">
        <f>N18/B9</f>
        <v>0.79166666666666663</v>
      </c>
      <c r="Q18" s="1324">
        <v>24</v>
      </c>
      <c r="R18" s="1325"/>
      <c r="S18" s="1193">
        <f>Q18/B9</f>
        <v>1</v>
      </c>
      <c r="T18" s="1324">
        <v>0</v>
      </c>
      <c r="U18" s="1325"/>
      <c r="V18" s="1193">
        <f>T18/B9</f>
        <v>0</v>
      </c>
    </row>
    <row r="19" spans="1:22" ht="16.5" thickBot="1">
      <c r="A19" s="829" t="s">
        <v>98</v>
      </c>
      <c r="B19" s="1250">
        <v>0</v>
      </c>
      <c r="C19" s="1251"/>
      <c r="D19" s="414">
        <f t="shared" ref="D19:D21" si="0">B19/B10</f>
        <v>0</v>
      </c>
      <c r="E19" s="1252">
        <v>0</v>
      </c>
      <c r="F19" s="1253"/>
      <c r="G19" s="798">
        <f t="shared" ref="G19:G21" si="1">E19/B10</f>
        <v>0</v>
      </c>
      <c r="H19" s="1252">
        <v>0</v>
      </c>
      <c r="I19" s="1253"/>
      <c r="J19" s="798">
        <f t="shared" ref="J19:J21" si="2">H19/B10</f>
        <v>0</v>
      </c>
      <c r="K19" s="1301">
        <v>19</v>
      </c>
      <c r="L19" s="1301"/>
      <c r="M19" s="1198">
        <f t="shared" ref="M19:M20" si="3">K19/B10</f>
        <v>0.73076923076923073</v>
      </c>
      <c r="N19" s="1326">
        <v>19</v>
      </c>
      <c r="O19" s="1327"/>
      <c r="P19" s="1192">
        <f>N19/B10</f>
        <v>0.73076923076923073</v>
      </c>
      <c r="Q19" s="1324">
        <v>23</v>
      </c>
      <c r="R19" s="1325"/>
      <c r="S19" s="1193">
        <f>Q19/B10</f>
        <v>0.88461538461538458</v>
      </c>
      <c r="T19" s="1324">
        <v>3</v>
      </c>
      <c r="U19" s="1325"/>
      <c r="V19" s="1193">
        <f>T19/B10</f>
        <v>0.11538461538461539</v>
      </c>
    </row>
    <row r="20" spans="1:22" ht="16.5" thickBot="1">
      <c r="A20" s="829" t="s">
        <v>99</v>
      </c>
      <c r="B20" s="1250">
        <v>0</v>
      </c>
      <c r="C20" s="1251"/>
      <c r="D20" s="414">
        <f t="shared" si="0"/>
        <v>0</v>
      </c>
      <c r="E20" s="1252">
        <v>0</v>
      </c>
      <c r="F20" s="1253"/>
      <c r="G20" s="798">
        <f t="shared" si="1"/>
        <v>0</v>
      </c>
      <c r="H20" s="1252">
        <v>0</v>
      </c>
      <c r="I20" s="1253"/>
      <c r="J20" s="798">
        <f t="shared" si="2"/>
        <v>0</v>
      </c>
      <c r="K20" s="1301">
        <v>23</v>
      </c>
      <c r="L20" s="1301"/>
      <c r="M20" s="1198">
        <f t="shared" si="3"/>
        <v>0.95833333333333337</v>
      </c>
      <c r="N20" s="1326">
        <v>23</v>
      </c>
      <c r="O20" s="1327"/>
      <c r="P20" s="1192">
        <f>N20/B11</f>
        <v>0.95833333333333337</v>
      </c>
      <c r="Q20" s="1324">
        <v>23</v>
      </c>
      <c r="R20" s="1325"/>
      <c r="S20" s="1193">
        <f>Q20/B11</f>
        <v>0.95833333333333337</v>
      </c>
      <c r="T20" s="1324">
        <v>1</v>
      </c>
      <c r="U20" s="1325"/>
      <c r="V20" s="1193">
        <f>T20/B11</f>
        <v>4.1666666666666664E-2</v>
      </c>
    </row>
    <row r="21" spans="1:22" ht="15.75" thickBot="1">
      <c r="A21" s="257" t="s">
        <v>0</v>
      </c>
      <c r="B21" s="1302">
        <f>SUM(B18:B20)</f>
        <v>0</v>
      </c>
      <c r="C21" s="1303"/>
      <c r="D21" s="792">
        <f t="shared" si="0"/>
        <v>0</v>
      </c>
      <c r="E21" s="1302">
        <f>SUM(E18:F20)</f>
        <v>0</v>
      </c>
      <c r="F21" s="1303"/>
      <c r="G21" s="844">
        <f t="shared" si="1"/>
        <v>0</v>
      </c>
      <c r="H21" s="1302">
        <f>SUM(H18:I20)</f>
        <v>0</v>
      </c>
      <c r="I21" s="1303"/>
      <c r="J21" s="844">
        <f t="shared" si="2"/>
        <v>0</v>
      </c>
      <c r="K21" s="1305">
        <f>SUM(K15:K20)</f>
        <v>61</v>
      </c>
      <c r="L21" s="1305"/>
      <c r="M21" s="1200">
        <f>K21/B12</f>
        <v>0.82432432432432434</v>
      </c>
      <c r="N21" s="1329">
        <f>SUM(N15:N20)</f>
        <v>61</v>
      </c>
      <c r="O21" s="1330"/>
      <c r="P21" s="1194">
        <f>N21/B12</f>
        <v>0.82432432432432434</v>
      </c>
      <c r="Q21" s="1329">
        <f>SUM(Q15:R20)</f>
        <v>70</v>
      </c>
      <c r="R21" s="1330"/>
      <c r="S21" s="1194">
        <f>Q21/B12</f>
        <v>0.94594594594594594</v>
      </c>
      <c r="T21" s="1329">
        <f>SUM(T15:U20)</f>
        <v>4</v>
      </c>
      <c r="U21" s="1330"/>
      <c r="V21" s="1194">
        <f>T21/B12</f>
        <v>5.4054054054054057E-2</v>
      </c>
    </row>
    <row r="22" spans="1:22" ht="15">
      <c r="G22" s="1109"/>
      <c r="H22" s="1109"/>
      <c r="I22" s="1109"/>
      <c r="J22" s="1109"/>
      <c r="K22" s="1109"/>
      <c r="N22" s="1328" t="s">
        <v>635</v>
      </c>
      <c r="O22" s="1328"/>
      <c r="P22" s="1328"/>
      <c r="Q22" s="1328"/>
      <c r="R22" s="1328"/>
      <c r="S22" s="1328"/>
    </row>
    <row r="23" spans="1:22" ht="12.75" customHeight="1"/>
    <row r="24" spans="1:22" ht="12.75" customHeight="1"/>
    <row r="25" spans="1:22">
      <c r="C25" s="17"/>
      <c r="D25" s="17"/>
      <c r="E25" s="17"/>
      <c r="F25" s="17"/>
      <c r="G25" s="17"/>
      <c r="H25" s="17"/>
      <c r="I25" s="17"/>
      <c r="J25" s="17"/>
      <c r="K25" s="17"/>
    </row>
    <row r="26" spans="1:22" ht="15.75" customHeight="1">
      <c r="C26" s="17"/>
      <c r="D26" s="17"/>
      <c r="E26" s="17"/>
      <c r="F26" s="17"/>
      <c r="G26" s="17"/>
      <c r="H26" s="17"/>
      <c r="I26" s="17"/>
      <c r="J26" s="17"/>
      <c r="K26" s="17"/>
    </row>
    <row r="27" spans="1:22" ht="14.25" customHeight="1">
      <c r="A27" s="1277" t="s">
        <v>490</v>
      </c>
      <c r="B27" s="1277"/>
      <c r="C27" s="1277"/>
      <c r="D27" s="1277"/>
      <c r="E27" s="1277"/>
      <c r="F27" s="1277"/>
      <c r="G27" s="1277"/>
      <c r="H27" s="1277"/>
      <c r="I27" s="1277"/>
      <c r="J27" s="1277"/>
      <c r="K27" s="1277"/>
      <c r="L27" s="1277"/>
    </row>
    <row r="29" spans="1:22" ht="13.5" thickBot="1"/>
    <row r="30" spans="1:22" ht="15.75" thickBot="1">
      <c r="A30" s="83"/>
      <c r="B30" s="105" t="s">
        <v>7</v>
      </c>
      <c r="C30" s="1279" t="s">
        <v>94</v>
      </c>
      <c r="D30" s="1289"/>
      <c r="E30" s="1290" t="s">
        <v>95</v>
      </c>
      <c r="F30" s="1289"/>
      <c r="G30" s="1290" t="s">
        <v>96</v>
      </c>
      <c r="H30" s="1289"/>
      <c r="I30" s="1290" t="s">
        <v>532</v>
      </c>
      <c r="J30" s="1289"/>
      <c r="K30" s="1290" t="s">
        <v>533</v>
      </c>
      <c r="L30" s="1289"/>
      <c r="M30" s="1283"/>
      <c r="N30" s="1283"/>
    </row>
    <row r="31" spans="1:22" ht="14.25" thickBot="1">
      <c r="A31" s="106" t="s">
        <v>26</v>
      </c>
      <c r="B31" s="106" t="s">
        <v>19</v>
      </c>
      <c r="C31" s="85" t="s">
        <v>18</v>
      </c>
      <c r="D31" s="85" t="s">
        <v>17</v>
      </c>
      <c r="E31" s="85" t="s">
        <v>18</v>
      </c>
      <c r="F31" s="85" t="s">
        <v>17</v>
      </c>
      <c r="G31" s="85" t="s">
        <v>18</v>
      </c>
      <c r="H31" s="85" t="s">
        <v>17</v>
      </c>
      <c r="I31" s="85" t="s">
        <v>18</v>
      </c>
      <c r="J31" s="85" t="s">
        <v>17</v>
      </c>
      <c r="K31" s="85" t="s">
        <v>18</v>
      </c>
      <c r="L31" s="85" t="s">
        <v>17</v>
      </c>
      <c r="M31" s="1283"/>
      <c r="N31" s="1283"/>
    </row>
    <row r="32" spans="1:22" ht="15" thickBot="1">
      <c r="A32" s="84"/>
      <c r="B32" s="107" t="s">
        <v>16</v>
      </c>
      <c r="C32" s="90" t="s">
        <v>323</v>
      </c>
      <c r="D32" s="90" t="s">
        <v>324</v>
      </c>
      <c r="E32" s="90" t="s">
        <v>323</v>
      </c>
      <c r="F32" s="90" t="s">
        <v>324</v>
      </c>
      <c r="G32" s="90" t="s">
        <v>323</v>
      </c>
      <c r="H32" s="90" t="s">
        <v>324</v>
      </c>
      <c r="I32" s="90" t="s">
        <v>323</v>
      </c>
      <c r="J32" s="90" t="s">
        <v>324</v>
      </c>
      <c r="K32" s="90" t="s">
        <v>323</v>
      </c>
      <c r="L32" s="90" t="s">
        <v>324</v>
      </c>
      <c r="M32" s="1283"/>
      <c r="N32" s="1283"/>
    </row>
    <row r="33" spans="1:25" ht="24" customHeight="1" thickBot="1">
      <c r="A33" s="88" t="s">
        <v>97</v>
      </c>
      <c r="B33" s="89">
        <v>23</v>
      </c>
      <c r="C33" s="93">
        <v>19</v>
      </c>
      <c r="D33" s="94">
        <f>(C33/B33)</f>
        <v>0.82608695652173914</v>
      </c>
      <c r="E33" s="93">
        <v>20</v>
      </c>
      <c r="F33" s="94">
        <f>(E33/B33)</f>
        <v>0.86956521739130432</v>
      </c>
      <c r="G33" s="93">
        <v>20</v>
      </c>
      <c r="H33" s="94">
        <f>(G33/B33)</f>
        <v>0.86956521739130432</v>
      </c>
      <c r="I33" s="93">
        <v>23</v>
      </c>
      <c r="J33" s="94">
        <f>(I33/B33)</f>
        <v>1</v>
      </c>
      <c r="K33" s="93">
        <v>23</v>
      </c>
      <c r="L33" s="94">
        <f>(K33/B33)</f>
        <v>1</v>
      </c>
      <c r="M33" s="834"/>
      <c r="N33" s="835"/>
    </row>
    <row r="34" spans="1:25" ht="15.75" customHeight="1" thickBot="1">
      <c r="A34" s="88" t="s">
        <v>98</v>
      </c>
      <c r="B34" s="1036">
        <v>22</v>
      </c>
      <c r="C34" s="93">
        <v>19</v>
      </c>
      <c r="D34" s="94">
        <f>(C34/B34)</f>
        <v>0.86363636363636365</v>
      </c>
      <c r="E34" s="93">
        <v>19</v>
      </c>
      <c r="F34" s="94">
        <f>(E34/B34)</f>
        <v>0.86363636363636365</v>
      </c>
      <c r="G34" s="93">
        <v>19</v>
      </c>
      <c r="H34" s="94">
        <f>(G34/B34)</f>
        <v>0.86363636363636365</v>
      </c>
      <c r="I34" s="93">
        <v>22</v>
      </c>
      <c r="J34" s="94">
        <f>(I34/B34)</f>
        <v>1</v>
      </c>
      <c r="K34" s="93">
        <v>22</v>
      </c>
      <c r="L34" s="94">
        <f>(K34/B34)</f>
        <v>1</v>
      </c>
      <c r="M34" s="834"/>
      <c r="N34" s="835"/>
    </row>
    <row r="35" spans="1:25" ht="18.75" thickBot="1">
      <c r="A35" s="88" t="s">
        <v>99</v>
      </c>
      <c r="B35" s="1036">
        <v>19</v>
      </c>
      <c r="C35" s="93">
        <v>15</v>
      </c>
      <c r="D35" s="94">
        <f>(C35/B35)</f>
        <v>0.78947368421052633</v>
      </c>
      <c r="E35" s="93">
        <v>16</v>
      </c>
      <c r="F35" s="94">
        <f>(E35/B35)</f>
        <v>0.84210526315789469</v>
      </c>
      <c r="G35" s="93">
        <v>19</v>
      </c>
      <c r="H35" s="94">
        <f>(G35/B35)</f>
        <v>1</v>
      </c>
      <c r="I35" s="93">
        <v>19</v>
      </c>
      <c r="J35" s="94">
        <f>(I35/B35)</f>
        <v>1</v>
      </c>
      <c r="K35" s="93">
        <v>19</v>
      </c>
      <c r="L35" s="94">
        <f>(K35/B35)</f>
        <v>1</v>
      </c>
      <c r="M35" s="834"/>
      <c r="N35" s="835"/>
    </row>
    <row r="36" spans="1:25" ht="17.25" thickBot="1">
      <c r="A36" s="86" t="s">
        <v>0</v>
      </c>
      <c r="B36" s="87">
        <f>SUM(B33:B35)</f>
        <v>64</v>
      </c>
      <c r="C36" s="91">
        <f>SUM(C33:C35)</f>
        <v>53</v>
      </c>
      <c r="D36" s="92">
        <f>(C36/B36)</f>
        <v>0.828125</v>
      </c>
      <c r="E36" s="87">
        <f>SUM(E33:E35)</f>
        <v>55</v>
      </c>
      <c r="F36" s="92">
        <f>(E36/B36)</f>
        <v>0.859375</v>
      </c>
      <c r="G36" s="87">
        <f>SUM(G33:G35)</f>
        <v>58</v>
      </c>
      <c r="H36" s="92">
        <f>(G36/B36)</f>
        <v>0.90625</v>
      </c>
      <c r="I36" s="87">
        <f>SUM(I33:I35)</f>
        <v>64</v>
      </c>
      <c r="J36" s="92">
        <f>(I36/B36)</f>
        <v>1</v>
      </c>
      <c r="K36" s="91">
        <f>SUM(K33:K35)</f>
        <v>64</v>
      </c>
      <c r="L36" s="92">
        <f>(K36/B36)</f>
        <v>1</v>
      </c>
      <c r="M36" s="836"/>
      <c r="N36" s="837"/>
    </row>
    <row r="37" spans="1:25" ht="13.5" thickBot="1"/>
    <row r="38" spans="1:25" ht="13.5" thickBot="1">
      <c r="N38" s="1299" t="s">
        <v>631</v>
      </c>
      <c r="O38" s="1300"/>
      <c r="P38" s="1300"/>
      <c r="Q38" s="1307" t="s">
        <v>632</v>
      </c>
      <c r="R38" s="1308"/>
      <c r="S38" s="1308"/>
      <c r="T38" s="1308"/>
      <c r="U38" s="1308"/>
      <c r="V38" s="1308"/>
      <c r="W38" s="1308"/>
      <c r="X38" s="1308"/>
      <c r="Y38" s="1309"/>
    </row>
    <row r="39" spans="1:25" ht="30.75" customHeight="1" thickBot="1">
      <c r="B39" s="1270" t="s">
        <v>545</v>
      </c>
      <c r="C39" s="1271"/>
      <c r="D39" s="1272"/>
      <c r="E39" s="1270" t="s">
        <v>633</v>
      </c>
      <c r="F39" s="1271"/>
      <c r="G39" s="1272"/>
      <c r="H39" s="1273" t="s">
        <v>549</v>
      </c>
      <c r="I39" s="1274"/>
      <c r="J39" s="1275"/>
      <c r="K39" s="1273" t="s">
        <v>547</v>
      </c>
      <c r="L39" s="1274"/>
      <c r="M39" s="1275"/>
      <c r="N39" s="1304" t="s">
        <v>548</v>
      </c>
      <c r="O39" s="1304"/>
      <c r="P39" s="1304"/>
      <c r="Q39" s="1310" t="s">
        <v>548</v>
      </c>
      <c r="R39" s="1310"/>
      <c r="S39" s="1310"/>
      <c r="T39" s="1311" t="s">
        <v>283</v>
      </c>
      <c r="U39" s="1311"/>
      <c r="V39" s="1311"/>
      <c r="W39" s="1311" t="s">
        <v>634</v>
      </c>
      <c r="X39" s="1311"/>
      <c r="Y39" s="1311"/>
    </row>
    <row r="40" spans="1:25" ht="15.75" customHeight="1" thickBot="1">
      <c r="A40" s="258"/>
      <c r="B40" s="1262" t="s">
        <v>546</v>
      </c>
      <c r="C40" s="1263"/>
      <c r="D40" s="1240" t="s">
        <v>147</v>
      </c>
      <c r="E40" s="1262" t="s">
        <v>546</v>
      </c>
      <c r="F40" s="1263"/>
      <c r="G40" s="1240" t="s">
        <v>147</v>
      </c>
      <c r="H40" s="1266" t="s">
        <v>546</v>
      </c>
      <c r="I40" s="1267"/>
      <c r="J40" s="1241" t="s">
        <v>147</v>
      </c>
      <c r="K40" s="1266" t="s">
        <v>546</v>
      </c>
      <c r="L40" s="1267"/>
      <c r="M40" s="1241" t="s">
        <v>147</v>
      </c>
      <c r="N40" s="1297" t="s">
        <v>546</v>
      </c>
      <c r="O40" s="1297"/>
      <c r="P40" s="1298" t="s">
        <v>147</v>
      </c>
      <c r="Q40" s="1312" t="s">
        <v>546</v>
      </c>
      <c r="R40" s="1312"/>
      <c r="S40" s="1313" t="s">
        <v>147</v>
      </c>
      <c r="T40" s="1312" t="s">
        <v>546</v>
      </c>
      <c r="U40" s="1312"/>
      <c r="V40" s="1313" t="s">
        <v>147</v>
      </c>
      <c r="W40" s="1312" t="s">
        <v>546</v>
      </c>
      <c r="X40" s="1312"/>
      <c r="Y40" s="1314" t="s">
        <v>147</v>
      </c>
    </row>
    <row r="41" spans="1:25" ht="13.5" customHeight="1" thickBot="1">
      <c r="A41" s="259"/>
      <c r="B41" s="1264"/>
      <c r="C41" s="1265"/>
      <c r="D41" s="1242"/>
      <c r="E41" s="1264"/>
      <c r="F41" s="1265"/>
      <c r="G41" s="1242"/>
      <c r="H41" s="1268"/>
      <c r="I41" s="1269"/>
      <c r="J41" s="1242"/>
      <c r="K41" s="1268"/>
      <c r="L41" s="1269"/>
      <c r="M41" s="1242"/>
      <c r="N41" s="1297"/>
      <c r="O41" s="1297"/>
      <c r="P41" s="1298"/>
      <c r="Q41" s="1312"/>
      <c r="R41" s="1312"/>
      <c r="S41" s="1313"/>
      <c r="T41" s="1312"/>
      <c r="U41" s="1312"/>
      <c r="V41" s="1313"/>
      <c r="W41" s="1312"/>
      <c r="X41" s="1312"/>
      <c r="Y41" s="1315"/>
    </row>
    <row r="42" spans="1:25" ht="16.5" thickBot="1">
      <c r="A42" s="829" t="s">
        <v>97</v>
      </c>
      <c r="B42" s="1250">
        <v>0</v>
      </c>
      <c r="C42" s="1251"/>
      <c r="D42" s="414">
        <f>B42/B33</f>
        <v>0</v>
      </c>
      <c r="E42" s="1250">
        <v>0</v>
      </c>
      <c r="F42" s="1251"/>
      <c r="G42" s="414">
        <f>E42/E33</f>
        <v>0</v>
      </c>
      <c r="H42" s="1256">
        <v>0</v>
      </c>
      <c r="I42" s="1257"/>
      <c r="J42" s="798">
        <f>H42/B33</f>
        <v>0</v>
      </c>
      <c r="K42" s="1256">
        <v>9</v>
      </c>
      <c r="L42" s="1257"/>
      <c r="M42" s="798">
        <f>K42/B33</f>
        <v>0.39130434782608697</v>
      </c>
      <c r="N42" s="1301">
        <v>19</v>
      </c>
      <c r="O42" s="1301"/>
      <c r="P42" s="1198">
        <f>N42/B33</f>
        <v>0.82608695652173914</v>
      </c>
      <c r="Q42" s="1323">
        <v>19</v>
      </c>
      <c r="R42" s="1323"/>
      <c r="S42" s="1192">
        <f>Q42/B33</f>
        <v>0.82608695652173914</v>
      </c>
      <c r="T42" s="1306">
        <v>20</v>
      </c>
      <c r="U42" s="1306"/>
      <c r="V42" s="1193">
        <f>T42/B33</f>
        <v>0.86956521739130432</v>
      </c>
      <c r="W42" s="1306">
        <v>3</v>
      </c>
      <c r="X42" s="1306"/>
      <c r="Y42" s="1193">
        <f>W42/B33</f>
        <v>0.13043478260869565</v>
      </c>
    </row>
    <row r="43" spans="1:25" ht="16.5" thickBot="1">
      <c r="A43" s="829" t="s">
        <v>98</v>
      </c>
      <c r="B43" s="1293">
        <v>1</v>
      </c>
      <c r="C43" s="1294"/>
      <c r="D43" s="799">
        <f t="shared" ref="D43:D45" si="4">B43/B34</f>
        <v>4.5454545454545456E-2</v>
      </c>
      <c r="E43" s="1293">
        <v>1</v>
      </c>
      <c r="F43" s="1294"/>
      <c r="G43" s="799">
        <f t="shared" ref="G43:G45" si="5">E43/E34</f>
        <v>5.2631578947368418E-2</v>
      </c>
      <c r="H43" s="1295">
        <v>0</v>
      </c>
      <c r="I43" s="1296"/>
      <c r="J43" s="798">
        <f>H43/B34</f>
        <v>0</v>
      </c>
      <c r="K43" s="1252">
        <v>7</v>
      </c>
      <c r="L43" s="1253"/>
      <c r="M43" s="798">
        <f>K43/B34</f>
        <v>0.31818181818181818</v>
      </c>
      <c r="N43" s="1301">
        <v>19</v>
      </c>
      <c r="O43" s="1301"/>
      <c r="P43" s="1198">
        <f t="shared" ref="P43:P44" si="6">N43/B34</f>
        <v>0.86363636363636365</v>
      </c>
      <c r="Q43" s="1323">
        <v>19</v>
      </c>
      <c r="R43" s="1323"/>
      <c r="S43" s="1192">
        <f>Q43/B34</f>
        <v>0.86363636363636365</v>
      </c>
      <c r="T43" s="1306">
        <v>19</v>
      </c>
      <c r="U43" s="1306"/>
      <c r="V43" s="1193">
        <f>T43/B34</f>
        <v>0.86363636363636365</v>
      </c>
      <c r="W43" s="1306">
        <v>3</v>
      </c>
      <c r="X43" s="1306"/>
      <c r="Y43" s="1193">
        <f>W43/B34</f>
        <v>0.13636363636363635</v>
      </c>
    </row>
    <row r="44" spans="1:25" ht="16.5" thickBot="1">
      <c r="A44" s="829" t="s">
        <v>99</v>
      </c>
      <c r="B44" s="1250">
        <v>0</v>
      </c>
      <c r="C44" s="1251"/>
      <c r="D44" s="414">
        <f t="shared" si="4"/>
        <v>0</v>
      </c>
      <c r="E44" s="1250">
        <v>0</v>
      </c>
      <c r="F44" s="1251"/>
      <c r="G44" s="414">
        <f t="shared" si="5"/>
        <v>0</v>
      </c>
      <c r="H44" s="1252">
        <v>0</v>
      </c>
      <c r="I44" s="1253"/>
      <c r="J44" s="798">
        <f>H44/B35</f>
        <v>0</v>
      </c>
      <c r="K44" s="1252">
        <v>4</v>
      </c>
      <c r="L44" s="1253"/>
      <c r="M44" s="798">
        <f>K44/B35</f>
        <v>0.21052631578947367</v>
      </c>
      <c r="N44" s="1301">
        <v>17</v>
      </c>
      <c r="O44" s="1301"/>
      <c r="P44" s="1198">
        <f t="shared" si="6"/>
        <v>0.89473684210526316</v>
      </c>
      <c r="Q44" s="1323">
        <v>17</v>
      </c>
      <c r="R44" s="1323"/>
      <c r="S44" s="1192">
        <f>Q44/B35</f>
        <v>0.89473684210526316</v>
      </c>
      <c r="T44" s="1306">
        <v>15</v>
      </c>
      <c r="U44" s="1306"/>
      <c r="V44" s="1193">
        <f>T44/B35</f>
        <v>0.78947368421052633</v>
      </c>
      <c r="W44" s="1306">
        <v>4</v>
      </c>
      <c r="X44" s="1306"/>
      <c r="Y44" s="1193">
        <f>W44/B35</f>
        <v>0.21052631578947367</v>
      </c>
    </row>
    <row r="45" spans="1:25" ht="15.75" thickBot="1">
      <c r="A45" s="257" t="s">
        <v>0</v>
      </c>
      <c r="B45" s="1284">
        <f>SUM(B42:B44)</f>
        <v>1</v>
      </c>
      <c r="C45" s="1285"/>
      <c r="D45" s="802">
        <f t="shared" si="4"/>
        <v>1.5625E-2</v>
      </c>
      <c r="E45" s="1284">
        <f>SUM(E42:E44)</f>
        <v>1</v>
      </c>
      <c r="F45" s="1285"/>
      <c r="G45" s="802">
        <f t="shared" si="5"/>
        <v>1.8181818181818181E-2</v>
      </c>
      <c r="H45" s="1284">
        <f>SUM(H42:I44)</f>
        <v>0</v>
      </c>
      <c r="I45" s="1285"/>
      <c r="J45" s="845">
        <f>H45/B36</f>
        <v>0</v>
      </c>
      <c r="K45" s="1284">
        <f>SUM(K42:L44)</f>
        <v>20</v>
      </c>
      <c r="L45" s="1285"/>
      <c r="M45" s="845">
        <f>K45/B36</f>
        <v>0.3125</v>
      </c>
      <c r="N45" s="1305">
        <f>SUM(N39:N44)</f>
        <v>55</v>
      </c>
      <c r="O45" s="1305"/>
      <c r="P45" s="1200">
        <f>N45/B36</f>
        <v>0.859375</v>
      </c>
      <c r="Q45" s="1322">
        <f>SUM(Q39:Q44)</f>
        <v>55</v>
      </c>
      <c r="R45" s="1322"/>
      <c r="S45" s="1194">
        <f>Q45/B36</f>
        <v>0.859375</v>
      </c>
      <c r="T45" s="1322">
        <f>SUM(T39:U44)</f>
        <v>54</v>
      </c>
      <c r="U45" s="1322"/>
      <c r="V45" s="1194">
        <f>T45/B36</f>
        <v>0.84375</v>
      </c>
      <c r="W45" s="1322">
        <f>SUM(W39:X44)</f>
        <v>10</v>
      </c>
      <c r="X45" s="1322"/>
      <c r="Y45" s="1194">
        <f>W45/B36</f>
        <v>0.15625</v>
      </c>
    </row>
    <row r="46" spans="1:25" ht="15">
      <c r="C46" s="2"/>
      <c r="Q46" s="1328" t="s">
        <v>635</v>
      </c>
      <c r="R46" s="1328"/>
      <c r="S46" s="1328"/>
      <c r="T46" s="1328"/>
      <c r="U46" s="1328"/>
      <c r="V46" s="1328"/>
    </row>
  </sheetData>
  <mergeCells count="128">
    <mergeCell ref="Q46:V46"/>
    <mergeCell ref="T21:U21"/>
    <mergeCell ref="Q21:R21"/>
    <mergeCell ref="N21:O21"/>
    <mergeCell ref="N38:P38"/>
    <mergeCell ref="N22:S22"/>
    <mergeCell ref="N16:O17"/>
    <mergeCell ref="T15:V15"/>
    <mergeCell ref="Q15:S15"/>
    <mergeCell ref="N15:P15"/>
    <mergeCell ref="Q42:R42"/>
    <mergeCell ref="T42:U42"/>
    <mergeCell ref="N39:P39"/>
    <mergeCell ref="N40:O41"/>
    <mergeCell ref="P40:P41"/>
    <mergeCell ref="N14:V14"/>
    <mergeCell ref="V16:V17"/>
    <mergeCell ref="T16:U17"/>
    <mergeCell ref="S16:S17"/>
    <mergeCell ref="Q16:R17"/>
    <mergeCell ref="P16:P17"/>
    <mergeCell ref="Q45:R45"/>
    <mergeCell ref="T45:U45"/>
    <mergeCell ref="W45:X45"/>
    <mergeCell ref="Q43:R43"/>
    <mergeCell ref="T43:U43"/>
    <mergeCell ref="W43:X43"/>
    <mergeCell ref="Q44:R44"/>
    <mergeCell ref="T44:U44"/>
    <mergeCell ref="W44:X44"/>
    <mergeCell ref="T18:U18"/>
    <mergeCell ref="N19:O19"/>
    <mergeCell ref="Q19:R19"/>
    <mergeCell ref="T19:U19"/>
    <mergeCell ref="N20:O20"/>
    <mergeCell ref="Q20:R20"/>
    <mergeCell ref="T20:U20"/>
    <mergeCell ref="Q18:R18"/>
    <mergeCell ref="N18:O18"/>
    <mergeCell ref="W42:X42"/>
    <mergeCell ref="Q38:Y38"/>
    <mergeCell ref="Q39:S39"/>
    <mergeCell ref="T39:V39"/>
    <mergeCell ref="W39:Y39"/>
    <mergeCell ref="Q40:R41"/>
    <mergeCell ref="S40:S41"/>
    <mergeCell ref="T40:U41"/>
    <mergeCell ref="V40:V41"/>
    <mergeCell ref="W40:X41"/>
    <mergeCell ref="Y40:Y41"/>
    <mergeCell ref="B45:C45"/>
    <mergeCell ref="H45:I45"/>
    <mergeCell ref="K45:L45"/>
    <mergeCell ref="N45:O45"/>
    <mergeCell ref="E45:F45"/>
    <mergeCell ref="B44:C44"/>
    <mergeCell ref="H44:I44"/>
    <mergeCell ref="K44:L44"/>
    <mergeCell ref="N44:O44"/>
    <mergeCell ref="E44:F44"/>
    <mergeCell ref="B43:C43"/>
    <mergeCell ref="H43:I43"/>
    <mergeCell ref="K43:L43"/>
    <mergeCell ref="N43:O43"/>
    <mergeCell ref="E43:F43"/>
    <mergeCell ref="B42:C42"/>
    <mergeCell ref="H42:I42"/>
    <mergeCell ref="K42:L42"/>
    <mergeCell ref="N42:O42"/>
    <mergeCell ref="B40:C41"/>
    <mergeCell ref="D40:D41"/>
    <mergeCell ref="H40:I41"/>
    <mergeCell ref="J40:J41"/>
    <mergeCell ref="K40:L41"/>
    <mergeCell ref="E40:F41"/>
    <mergeCell ref="G40:G41"/>
    <mergeCell ref="E42:F42"/>
    <mergeCell ref="B39:D39"/>
    <mergeCell ref="H39:J39"/>
    <mergeCell ref="K39:M39"/>
    <mergeCell ref="E39:G39"/>
    <mergeCell ref="M40:M41"/>
    <mergeCell ref="H21:I21"/>
    <mergeCell ref="K21:L21"/>
    <mergeCell ref="B20:C20"/>
    <mergeCell ref="E20:F20"/>
    <mergeCell ref="H20:I20"/>
    <mergeCell ref="K20:L20"/>
    <mergeCell ref="B19:C19"/>
    <mergeCell ref="E19:F19"/>
    <mergeCell ref="H19:I19"/>
    <mergeCell ref="K19:L19"/>
    <mergeCell ref="A1:L2"/>
    <mergeCell ref="A3:J4"/>
    <mergeCell ref="C6:D6"/>
    <mergeCell ref="E6:F6"/>
    <mergeCell ref="G6:H6"/>
    <mergeCell ref="I6:J6"/>
    <mergeCell ref="K6:L6"/>
    <mergeCell ref="B15:D15"/>
    <mergeCell ref="E15:G15"/>
    <mergeCell ref="H15:J15"/>
    <mergeCell ref="K15:M15"/>
    <mergeCell ref="M6:M8"/>
    <mergeCell ref="N6:N8"/>
    <mergeCell ref="G16:G17"/>
    <mergeCell ref="H16:I17"/>
    <mergeCell ref="J16:J17"/>
    <mergeCell ref="K16:L17"/>
    <mergeCell ref="M16:M17"/>
    <mergeCell ref="K14:M14"/>
    <mergeCell ref="A27:L27"/>
    <mergeCell ref="C30:D30"/>
    <mergeCell ref="E30:F30"/>
    <mergeCell ref="G30:H30"/>
    <mergeCell ref="I30:J30"/>
    <mergeCell ref="K30:L30"/>
    <mergeCell ref="N30:N32"/>
    <mergeCell ref="M30:M32"/>
    <mergeCell ref="B18:C18"/>
    <mergeCell ref="E18:F18"/>
    <mergeCell ref="H18:I18"/>
    <mergeCell ref="K18:L18"/>
    <mergeCell ref="B16:C17"/>
    <mergeCell ref="D16:D17"/>
    <mergeCell ref="E16:F17"/>
    <mergeCell ref="B21:C21"/>
    <mergeCell ref="E21:F21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useFirstPageNumber="1" r:id="rId1"/>
  <headerFooter>
    <oddHeader xml:space="preserve">&amp;L&amp;"Trebuchet MS,Negrito"&amp;12&amp;K01+013AGRUPAMENTO DE ESCOLAS MIGUEL TORGA&amp;C
&amp;R&amp;"Trebuchet MS,Negrito itálico"&amp;12AUTOAVALIAÇÃO
3ºPeríodo  2012/13
Tabela V
</oddHeader>
    <oddFooter>&amp;C
&amp;G&amp;R6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14B0"/>
  </sheetPr>
  <dimension ref="A1:Z205"/>
  <sheetViews>
    <sheetView showGridLines="0" zoomScale="90" zoomScaleNormal="90" zoomScalePageLayoutView="70" workbookViewId="0">
      <selection activeCell="L29" sqref="L29:M29"/>
    </sheetView>
  </sheetViews>
  <sheetFormatPr defaultRowHeight="12.75"/>
  <cols>
    <col min="1" max="1" width="7.85546875" customWidth="1"/>
    <col min="2" max="2" width="7.28515625" customWidth="1"/>
    <col min="3" max="24" width="6.7109375" customWidth="1"/>
  </cols>
  <sheetData>
    <row r="1" spans="1:26" ht="12.75" customHeight="1">
      <c r="A1" s="1337" t="s">
        <v>124</v>
      </c>
      <c r="B1" s="1337"/>
      <c r="C1" s="1337"/>
      <c r="D1" s="1337"/>
      <c r="E1" s="1337"/>
      <c r="F1" s="1337"/>
      <c r="G1" s="1337"/>
      <c r="H1" s="1337"/>
      <c r="I1" s="1337"/>
      <c r="J1" s="1337"/>
      <c r="K1" s="1337"/>
      <c r="L1" s="1337"/>
      <c r="M1" s="1337"/>
      <c r="N1" s="1337"/>
      <c r="O1" s="1337"/>
      <c r="P1" s="1337"/>
      <c r="Q1" s="1337"/>
      <c r="R1" s="1337"/>
      <c r="S1" s="1337"/>
      <c r="T1" s="1337"/>
      <c r="U1" s="1337"/>
      <c r="V1" s="1337"/>
      <c r="W1" s="1337"/>
      <c r="X1" s="1337"/>
    </row>
    <row r="2" spans="1:26" ht="12.75" customHeight="1">
      <c r="A2" s="1337"/>
      <c r="B2" s="1337"/>
      <c r="C2" s="1337"/>
      <c r="D2" s="1337"/>
      <c r="E2" s="1337"/>
      <c r="F2" s="1337"/>
      <c r="G2" s="1337"/>
      <c r="H2" s="1337"/>
      <c r="I2" s="1337"/>
      <c r="J2" s="1337"/>
      <c r="K2" s="1337"/>
      <c r="L2" s="1337"/>
      <c r="M2" s="1337"/>
      <c r="N2" s="1337"/>
      <c r="O2" s="1337"/>
      <c r="P2" s="1337"/>
      <c r="Q2" s="1337"/>
      <c r="R2" s="1337"/>
      <c r="S2" s="1337"/>
      <c r="T2" s="1337"/>
      <c r="U2" s="1337"/>
      <c r="V2" s="1337"/>
      <c r="W2" s="1337"/>
      <c r="X2" s="1337"/>
    </row>
    <row r="3" spans="1:26" ht="12.75" customHeight="1">
      <c r="A3" s="1277" t="s">
        <v>125</v>
      </c>
      <c r="B3" s="1277"/>
      <c r="C3" s="1277"/>
      <c r="D3" s="1277"/>
      <c r="E3" s="1277"/>
      <c r="F3" s="1277"/>
      <c r="G3" s="1277"/>
      <c r="H3" s="1277"/>
      <c r="I3" s="1277"/>
      <c r="J3" s="1277"/>
      <c r="K3" s="1277"/>
      <c r="L3" s="1277"/>
      <c r="M3" s="1277"/>
      <c r="N3" s="1277"/>
      <c r="O3" s="1277"/>
      <c r="P3" s="1277"/>
      <c r="Q3" s="1277"/>
      <c r="R3" s="1277"/>
      <c r="S3" s="1277"/>
      <c r="T3" s="1277"/>
      <c r="U3" s="1277"/>
      <c r="V3" s="1277"/>
      <c r="W3" s="1277"/>
      <c r="X3" s="1277"/>
    </row>
    <row r="4" spans="1:26" ht="12.75" customHeight="1">
      <c r="A4" s="1277"/>
      <c r="B4" s="1277"/>
      <c r="C4" s="1277"/>
      <c r="D4" s="1277"/>
      <c r="E4" s="1277"/>
      <c r="F4" s="1277"/>
      <c r="G4" s="1277"/>
      <c r="H4" s="1277"/>
      <c r="I4" s="1277"/>
      <c r="J4" s="1277"/>
      <c r="K4" s="1277"/>
      <c r="L4" s="1277"/>
      <c r="M4" s="1277"/>
      <c r="N4" s="1277"/>
      <c r="O4" s="1277"/>
      <c r="P4" s="1277"/>
      <c r="Q4" s="1277"/>
      <c r="R4" s="1277"/>
      <c r="S4" s="1277"/>
      <c r="T4" s="1277"/>
      <c r="U4" s="1277"/>
      <c r="V4" s="1277"/>
      <c r="W4" s="1277"/>
      <c r="X4" s="1277"/>
    </row>
    <row r="5" spans="1:26" ht="6" customHeight="1">
      <c r="A5" s="249"/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</row>
    <row r="6" spans="1:26" ht="19.5" customHeight="1" thickBot="1">
      <c r="A6" s="1338" t="s">
        <v>489</v>
      </c>
      <c r="B6" s="1338"/>
      <c r="C6" s="1338"/>
      <c r="D6" s="1338"/>
      <c r="E6" s="1338"/>
      <c r="F6" s="1338"/>
      <c r="G6" s="1338"/>
      <c r="H6" s="1338"/>
      <c r="I6" s="1338"/>
      <c r="J6" s="1338"/>
      <c r="K6" s="1338"/>
      <c r="L6" s="1338"/>
      <c r="M6" s="1338"/>
      <c r="N6" s="1338"/>
      <c r="O6" s="1338"/>
      <c r="P6" s="1338"/>
      <c r="Q6" s="1338"/>
      <c r="R6" s="1338"/>
      <c r="S6" s="1338"/>
      <c r="T6" s="1338"/>
      <c r="U6" s="1338"/>
      <c r="V6" s="1338"/>
      <c r="W6" s="1338"/>
      <c r="X6" s="1338"/>
    </row>
    <row r="7" spans="1:26" ht="15.75" thickBot="1">
      <c r="C7" s="1279" t="s">
        <v>25</v>
      </c>
      <c r="D7" s="1289"/>
      <c r="E7" s="1347" t="s">
        <v>608</v>
      </c>
      <c r="F7" s="1348"/>
      <c r="G7" s="1279" t="s">
        <v>24</v>
      </c>
      <c r="H7" s="1289"/>
      <c r="I7" s="1279" t="s">
        <v>123</v>
      </c>
      <c r="J7" s="1289"/>
      <c r="K7" s="1279" t="s">
        <v>23</v>
      </c>
      <c r="L7" s="1289"/>
      <c r="M7" s="1279" t="s">
        <v>120</v>
      </c>
      <c r="N7" s="1289"/>
      <c r="O7" s="1279" t="s">
        <v>129</v>
      </c>
      <c r="P7" s="1289"/>
      <c r="Q7" s="1279" t="s">
        <v>544</v>
      </c>
      <c r="R7" s="1289"/>
      <c r="S7" s="1279" t="s">
        <v>121</v>
      </c>
      <c r="T7" s="1289"/>
      <c r="U7" s="1279" t="s">
        <v>74</v>
      </c>
      <c r="V7" s="1289"/>
      <c r="W7" s="1279" t="s">
        <v>20</v>
      </c>
      <c r="X7" s="1289"/>
      <c r="Y7" s="1279" t="s">
        <v>21</v>
      </c>
      <c r="Z7" s="1289"/>
    </row>
    <row r="8" spans="1:26" s="1" customFormat="1" ht="15" customHeight="1">
      <c r="A8" s="1241"/>
      <c r="B8" s="106" t="s">
        <v>19</v>
      </c>
      <c r="C8" s="85" t="s">
        <v>18</v>
      </c>
      <c r="D8" s="85" t="s">
        <v>17</v>
      </c>
      <c r="E8" s="85" t="s">
        <v>18</v>
      </c>
      <c r="F8" s="85" t="s">
        <v>17</v>
      </c>
      <c r="G8" s="85" t="s">
        <v>18</v>
      </c>
      <c r="H8" s="85" t="s">
        <v>17</v>
      </c>
      <c r="I8" s="85" t="s">
        <v>18</v>
      </c>
      <c r="J8" s="85" t="s">
        <v>17</v>
      </c>
      <c r="K8" s="85" t="s">
        <v>18</v>
      </c>
      <c r="L8" s="85" t="s">
        <v>17</v>
      </c>
      <c r="M8" s="85" t="s">
        <v>18</v>
      </c>
      <c r="N8" s="85" t="s">
        <v>17</v>
      </c>
      <c r="O8" s="85" t="s">
        <v>18</v>
      </c>
      <c r="P8" s="85" t="s">
        <v>17</v>
      </c>
      <c r="Q8" s="85" t="s">
        <v>18</v>
      </c>
      <c r="R8" s="85" t="s">
        <v>17</v>
      </c>
      <c r="S8" s="85" t="s">
        <v>18</v>
      </c>
      <c r="T8" s="85" t="s">
        <v>17</v>
      </c>
      <c r="U8" s="85" t="s">
        <v>18</v>
      </c>
      <c r="V8" s="85" t="s">
        <v>17</v>
      </c>
      <c r="W8" s="85" t="s">
        <v>18</v>
      </c>
      <c r="X8" s="778" t="s">
        <v>17</v>
      </c>
      <c r="Y8" s="85" t="s">
        <v>18</v>
      </c>
      <c r="Z8" s="778" t="s">
        <v>17</v>
      </c>
    </row>
    <row r="9" spans="1:26" s="1" customFormat="1" ht="24.75" customHeight="1" thickBot="1">
      <c r="A9" s="1242"/>
      <c r="B9" s="107" t="s">
        <v>16</v>
      </c>
      <c r="C9" s="90" t="s">
        <v>323</v>
      </c>
      <c r="D9" s="90" t="s">
        <v>324</v>
      </c>
      <c r="E9" s="90" t="s">
        <v>323</v>
      </c>
      <c r="F9" s="90" t="s">
        <v>324</v>
      </c>
      <c r="G9" s="90" t="s">
        <v>323</v>
      </c>
      <c r="H9" s="90" t="s">
        <v>324</v>
      </c>
      <c r="I9" s="90" t="s">
        <v>323</v>
      </c>
      <c r="J9" s="90" t="s">
        <v>324</v>
      </c>
      <c r="K9" s="90" t="s">
        <v>323</v>
      </c>
      <c r="L9" s="90" t="s">
        <v>324</v>
      </c>
      <c r="M9" s="90" t="s">
        <v>323</v>
      </c>
      <c r="N9" s="90" t="s">
        <v>324</v>
      </c>
      <c r="O9" s="90" t="s">
        <v>323</v>
      </c>
      <c r="P9" s="90" t="s">
        <v>324</v>
      </c>
      <c r="Q9" s="90" t="s">
        <v>323</v>
      </c>
      <c r="R9" s="90" t="s">
        <v>324</v>
      </c>
      <c r="S9" s="90" t="s">
        <v>323</v>
      </c>
      <c r="T9" s="90" t="s">
        <v>324</v>
      </c>
      <c r="U9" s="90" t="s">
        <v>323</v>
      </c>
      <c r="V9" s="90" t="s">
        <v>324</v>
      </c>
      <c r="W9" s="90" t="s">
        <v>323</v>
      </c>
      <c r="X9" s="779" t="s">
        <v>324</v>
      </c>
      <c r="Y9" s="90" t="s">
        <v>323</v>
      </c>
      <c r="Z9" s="779" t="s">
        <v>324</v>
      </c>
    </row>
    <row r="10" spans="1:26" s="9" customFormat="1" ht="15.75" customHeight="1" thickBot="1">
      <c r="A10" s="88">
        <v>1</v>
      </c>
      <c r="B10" s="1031">
        <v>19</v>
      </c>
      <c r="C10" s="806">
        <v>16</v>
      </c>
      <c r="D10" s="807">
        <f t="shared" ref="D10:D15" si="0">(C10/B10)</f>
        <v>0.84210526315789469</v>
      </c>
      <c r="E10" s="809"/>
      <c r="F10" s="809"/>
      <c r="G10" s="806">
        <v>16</v>
      </c>
      <c r="H10" s="807">
        <f>G10/B10</f>
        <v>0.84210526315789469</v>
      </c>
      <c r="I10" s="806">
        <v>18</v>
      </c>
      <c r="J10" s="807">
        <f t="shared" ref="J10:J16" si="1">(I10/B10)</f>
        <v>0.94736842105263153</v>
      </c>
      <c r="K10" s="806">
        <v>16</v>
      </c>
      <c r="L10" s="807">
        <f t="shared" ref="L10:L16" si="2">(K10/B10)</f>
        <v>0.84210526315789469</v>
      </c>
      <c r="M10" s="806">
        <v>17</v>
      </c>
      <c r="N10" s="807">
        <f t="shared" ref="N10:N16" si="3">(M10/B10)</f>
        <v>0.89473684210526316</v>
      </c>
      <c r="O10" s="806">
        <v>18</v>
      </c>
      <c r="P10" s="807">
        <f t="shared" ref="P10:P16" si="4">(O10/B10)</f>
        <v>0.94736842105263153</v>
      </c>
      <c r="Q10" s="806">
        <v>19</v>
      </c>
      <c r="R10" s="807">
        <f t="shared" ref="R10:R16" si="5">(Q10/B10)</f>
        <v>1</v>
      </c>
      <c r="S10" s="806">
        <v>17</v>
      </c>
      <c r="T10" s="807">
        <f t="shared" ref="T10:T16" si="6">(S10/B10)</f>
        <v>0.89473684210526316</v>
      </c>
      <c r="U10" s="806">
        <v>19</v>
      </c>
      <c r="V10" s="807">
        <f t="shared" ref="V10:V16" si="7">U10/B10</f>
        <v>1</v>
      </c>
      <c r="W10" s="806">
        <v>4</v>
      </c>
      <c r="X10" s="1032">
        <f>W10/4</f>
        <v>1</v>
      </c>
      <c r="Y10" s="806">
        <v>18</v>
      </c>
      <c r="Z10" s="1032">
        <f>Y10/B10</f>
        <v>0.94736842105263153</v>
      </c>
    </row>
    <row r="11" spans="1:26" s="9" customFormat="1" ht="15.75" thickBot="1">
      <c r="A11" s="88">
        <v>2</v>
      </c>
      <c r="B11" s="1017">
        <v>22</v>
      </c>
      <c r="C11" s="93">
        <v>17</v>
      </c>
      <c r="D11" s="94">
        <f t="shared" si="0"/>
        <v>0.77272727272727271</v>
      </c>
      <c r="E11" s="809"/>
      <c r="F11" s="809"/>
      <c r="G11" s="93">
        <v>20</v>
      </c>
      <c r="H11" s="94">
        <f t="shared" ref="H11:H16" si="8">(G11/B11)</f>
        <v>0.90909090909090906</v>
      </c>
      <c r="I11" s="93">
        <v>19</v>
      </c>
      <c r="J11" s="94">
        <f t="shared" si="1"/>
        <v>0.86363636363636365</v>
      </c>
      <c r="K11" s="93">
        <v>18</v>
      </c>
      <c r="L11" s="94">
        <f t="shared" si="2"/>
        <v>0.81818181818181823</v>
      </c>
      <c r="M11" s="93">
        <v>19</v>
      </c>
      <c r="N11" s="94">
        <f t="shared" si="3"/>
        <v>0.86363636363636365</v>
      </c>
      <c r="O11" s="93">
        <v>21</v>
      </c>
      <c r="P11" s="94">
        <f t="shared" si="4"/>
        <v>0.95454545454545459</v>
      </c>
      <c r="Q11" s="93">
        <v>21</v>
      </c>
      <c r="R11" s="94">
        <f t="shared" si="5"/>
        <v>0.95454545454545459</v>
      </c>
      <c r="S11" s="93">
        <v>19</v>
      </c>
      <c r="T11" s="94">
        <f t="shared" si="6"/>
        <v>0.86363636363636365</v>
      </c>
      <c r="U11" s="93">
        <v>22</v>
      </c>
      <c r="V11" s="94">
        <f t="shared" si="7"/>
        <v>1</v>
      </c>
      <c r="W11" s="93">
        <v>10</v>
      </c>
      <c r="X11" s="780">
        <f>W11/10</f>
        <v>1</v>
      </c>
      <c r="Y11" s="93">
        <v>22</v>
      </c>
      <c r="Z11" s="780">
        <f t="shared" ref="Z11:Z17" si="9">Y11/B11</f>
        <v>1</v>
      </c>
    </row>
    <row r="12" spans="1:26" s="9" customFormat="1" ht="15.75" thickBot="1">
      <c r="A12" s="88">
        <v>3</v>
      </c>
      <c r="B12" s="1017">
        <v>19</v>
      </c>
      <c r="C12" s="93">
        <v>17</v>
      </c>
      <c r="D12" s="94">
        <f t="shared" si="0"/>
        <v>0.89473684210526316</v>
      </c>
      <c r="E12" s="809"/>
      <c r="F12" s="809"/>
      <c r="G12" s="93">
        <v>18</v>
      </c>
      <c r="H12" s="94">
        <f t="shared" si="8"/>
        <v>0.94736842105263153</v>
      </c>
      <c r="I12" s="93">
        <v>19</v>
      </c>
      <c r="J12" s="94">
        <f t="shared" si="1"/>
        <v>1</v>
      </c>
      <c r="K12" s="93">
        <v>16</v>
      </c>
      <c r="L12" s="94">
        <f t="shared" si="2"/>
        <v>0.84210526315789469</v>
      </c>
      <c r="M12" s="93">
        <v>19</v>
      </c>
      <c r="N12" s="94">
        <f t="shared" si="3"/>
        <v>1</v>
      </c>
      <c r="O12" s="93">
        <v>19</v>
      </c>
      <c r="P12" s="94">
        <f t="shared" si="4"/>
        <v>1</v>
      </c>
      <c r="Q12" s="93">
        <v>19</v>
      </c>
      <c r="R12" s="94">
        <f t="shared" si="5"/>
        <v>1</v>
      </c>
      <c r="S12" s="93">
        <v>18</v>
      </c>
      <c r="T12" s="94">
        <f t="shared" si="6"/>
        <v>0.94736842105263153</v>
      </c>
      <c r="U12" s="93">
        <v>19</v>
      </c>
      <c r="V12" s="94">
        <f t="shared" si="7"/>
        <v>1</v>
      </c>
      <c r="W12" s="93">
        <v>9</v>
      </c>
      <c r="X12" s="780">
        <f>W12/9</f>
        <v>1</v>
      </c>
      <c r="Y12" s="93">
        <v>19</v>
      </c>
      <c r="Z12" s="780">
        <f t="shared" si="9"/>
        <v>1</v>
      </c>
    </row>
    <row r="13" spans="1:26" s="1" customFormat="1" ht="15.75" thickBot="1">
      <c r="A13" s="88">
        <v>4</v>
      </c>
      <c r="B13" s="1016">
        <v>14</v>
      </c>
      <c r="C13" s="93">
        <v>11</v>
      </c>
      <c r="D13" s="94">
        <f t="shared" si="0"/>
        <v>0.7857142857142857</v>
      </c>
      <c r="E13" s="809"/>
      <c r="F13" s="809"/>
      <c r="G13" s="93">
        <v>12</v>
      </c>
      <c r="H13" s="94">
        <f t="shared" si="8"/>
        <v>0.8571428571428571</v>
      </c>
      <c r="I13" s="93">
        <v>13</v>
      </c>
      <c r="J13" s="94">
        <f t="shared" si="1"/>
        <v>0.9285714285714286</v>
      </c>
      <c r="K13" s="93">
        <v>8</v>
      </c>
      <c r="L13" s="94">
        <f t="shared" si="2"/>
        <v>0.5714285714285714</v>
      </c>
      <c r="M13" s="93">
        <v>13</v>
      </c>
      <c r="N13" s="94">
        <f t="shared" si="3"/>
        <v>0.9285714285714286</v>
      </c>
      <c r="O13" s="93">
        <v>13</v>
      </c>
      <c r="P13" s="94">
        <f t="shared" si="4"/>
        <v>0.9285714285714286</v>
      </c>
      <c r="Q13" s="93">
        <v>13</v>
      </c>
      <c r="R13" s="94">
        <f t="shared" si="5"/>
        <v>0.9285714285714286</v>
      </c>
      <c r="S13" s="93">
        <v>12</v>
      </c>
      <c r="T13" s="94">
        <f t="shared" si="6"/>
        <v>0.8571428571428571</v>
      </c>
      <c r="U13" s="93">
        <v>14</v>
      </c>
      <c r="V13" s="94">
        <f t="shared" si="7"/>
        <v>1</v>
      </c>
      <c r="W13" s="93">
        <v>3</v>
      </c>
      <c r="X13" s="780">
        <f>W13/3</f>
        <v>1</v>
      </c>
      <c r="Y13" s="93">
        <v>12</v>
      </c>
      <c r="Z13" s="780">
        <f t="shared" si="9"/>
        <v>0.8571428571428571</v>
      </c>
    </row>
    <row r="14" spans="1:26" s="1" customFormat="1" ht="15.75" thickBot="1">
      <c r="A14" s="88">
        <v>5</v>
      </c>
      <c r="B14" s="1017">
        <v>22</v>
      </c>
      <c r="C14" s="93">
        <v>17</v>
      </c>
      <c r="D14" s="94">
        <f>(C14/21)</f>
        <v>0.80952380952380953</v>
      </c>
      <c r="E14" s="93">
        <v>0</v>
      </c>
      <c r="F14" s="94">
        <f>E14/1</f>
        <v>0</v>
      </c>
      <c r="G14" s="93">
        <v>18</v>
      </c>
      <c r="H14" s="94">
        <f t="shared" si="8"/>
        <v>0.81818181818181823</v>
      </c>
      <c r="I14" s="93">
        <v>20</v>
      </c>
      <c r="J14" s="94">
        <f t="shared" si="1"/>
        <v>0.90909090909090906</v>
      </c>
      <c r="K14" s="93">
        <v>18</v>
      </c>
      <c r="L14" s="94">
        <f t="shared" si="2"/>
        <v>0.81818181818181823</v>
      </c>
      <c r="M14" s="93">
        <v>21</v>
      </c>
      <c r="N14" s="94">
        <f t="shared" si="3"/>
        <v>0.95454545454545459</v>
      </c>
      <c r="O14" s="93">
        <v>21</v>
      </c>
      <c r="P14" s="94">
        <f t="shared" si="4"/>
        <v>0.95454545454545459</v>
      </c>
      <c r="Q14" s="93">
        <v>21</v>
      </c>
      <c r="R14" s="94">
        <f t="shared" si="5"/>
        <v>0.95454545454545459</v>
      </c>
      <c r="S14" s="93">
        <v>21</v>
      </c>
      <c r="T14" s="94">
        <f t="shared" si="6"/>
        <v>0.95454545454545459</v>
      </c>
      <c r="U14" s="93">
        <v>21</v>
      </c>
      <c r="V14" s="94">
        <f t="shared" si="7"/>
        <v>0.95454545454545459</v>
      </c>
      <c r="W14" s="93">
        <v>3</v>
      </c>
      <c r="X14" s="780">
        <f>W14/4</f>
        <v>0.75</v>
      </c>
      <c r="Y14" s="93">
        <v>18</v>
      </c>
      <c r="Z14" s="780">
        <f t="shared" si="9"/>
        <v>0.81818181818181823</v>
      </c>
    </row>
    <row r="15" spans="1:26" s="1" customFormat="1" ht="15.75" thickBot="1">
      <c r="A15" s="88">
        <v>6</v>
      </c>
      <c r="B15" s="1017">
        <v>17</v>
      </c>
      <c r="C15" s="93">
        <v>11</v>
      </c>
      <c r="D15" s="94">
        <f t="shared" si="0"/>
        <v>0.6470588235294118</v>
      </c>
      <c r="E15" s="809"/>
      <c r="F15" s="809"/>
      <c r="G15" s="93">
        <v>10</v>
      </c>
      <c r="H15" s="94">
        <f t="shared" si="8"/>
        <v>0.58823529411764708</v>
      </c>
      <c r="I15" s="93">
        <v>12</v>
      </c>
      <c r="J15" s="94">
        <f t="shared" si="1"/>
        <v>0.70588235294117652</v>
      </c>
      <c r="K15" s="93">
        <v>10</v>
      </c>
      <c r="L15" s="94">
        <f t="shared" si="2"/>
        <v>0.58823529411764708</v>
      </c>
      <c r="M15" s="93">
        <v>13</v>
      </c>
      <c r="N15" s="94">
        <f t="shared" si="3"/>
        <v>0.76470588235294112</v>
      </c>
      <c r="O15" s="93">
        <v>12</v>
      </c>
      <c r="P15" s="94">
        <f t="shared" si="4"/>
        <v>0.70588235294117652</v>
      </c>
      <c r="Q15" s="93">
        <v>10</v>
      </c>
      <c r="R15" s="94">
        <f t="shared" si="5"/>
        <v>0.58823529411764708</v>
      </c>
      <c r="S15" s="93">
        <v>10</v>
      </c>
      <c r="T15" s="94">
        <f t="shared" si="6"/>
        <v>0.58823529411764708</v>
      </c>
      <c r="U15" s="93">
        <v>17</v>
      </c>
      <c r="V15" s="94">
        <f t="shared" si="7"/>
        <v>1</v>
      </c>
      <c r="W15" s="93">
        <v>6</v>
      </c>
      <c r="X15" s="780">
        <f>W15/6</f>
        <v>1</v>
      </c>
      <c r="Y15" s="93">
        <v>12</v>
      </c>
      <c r="Z15" s="780">
        <f t="shared" si="9"/>
        <v>0.70588235294117652</v>
      </c>
    </row>
    <row r="16" spans="1:26" s="1" customFormat="1" ht="17.25" customHeight="1" thickBot="1">
      <c r="A16" s="88">
        <v>7</v>
      </c>
      <c r="B16" s="1035">
        <v>13</v>
      </c>
      <c r="C16" s="806">
        <v>8</v>
      </c>
      <c r="D16" s="807">
        <f>(C16/9)</f>
        <v>0.88888888888888884</v>
      </c>
      <c r="E16" s="806">
        <v>3</v>
      </c>
      <c r="F16" s="807">
        <f>E16/4</f>
        <v>0.75</v>
      </c>
      <c r="G16" s="806">
        <v>12</v>
      </c>
      <c r="H16" s="807">
        <f t="shared" si="8"/>
        <v>0.92307692307692313</v>
      </c>
      <c r="I16" s="806">
        <v>12</v>
      </c>
      <c r="J16" s="807">
        <f t="shared" si="1"/>
        <v>0.92307692307692313</v>
      </c>
      <c r="K16" s="806">
        <v>10</v>
      </c>
      <c r="L16" s="807">
        <f t="shared" si="2"/>
        <v>0.76923076923076927</v>
      </c>
      <c r="M16" s="806">
        <v>12</v>
      </c>
      <c r="N16" s="807">
        <f t="shared" si="3"/>
        <v>0.92307692307692313</v>
      </c>
      <c r="O16" s="806">
        <v>12</v>
      </c>
      <c r="P16" s="807">
        <f t="shared" si="4"/>
        <v>0.92307692307692313</v>
      </c>
      <c r="Q16" s="806">
        <v>12</v>
      </c>
      <c r="R16" s="807">
        <f t="shared" si="5"/>
        <v>0.92307692307692313</v>
      </c>
      <c r="S16" s="806">
        <v>12</v>
      </c>
      <c r="T16" s="807">
        <f t="shared" si="6"/>
        <v>0.92307692307692313</v>
      </c>
      <c r="U16" s="806">
        <v>12</v>
      </c>
      <c r="V16" s="807">
        <f t="shared" si="7"/>
        <v>0.92307692307692313</v>
      </c>
      <c r="W16" s="806">
        <v>3</v>
      </c>
      <c r="X16" s="1032">
        <f>W16/3</f>
        <v>1</v>
      </c>
      <c r="Y16" s="806">
        <v>11</v>
      </c>
      <c r="Z16" s="1032">
        <f t="shared" si="9"/>
        <v>0.84615384615384615</v>
      </c>
    </row>
    <row r="17" spans="1:26" s="1" customFormat="1" ht="18.75" customHeight="1" thickBot="1">
      <c r="A17" s="86" t="s">
        <v>0</v>
      </c>
      <c r="B17" s="87">
        <f>SUM(B10:B16)</f>
        <v>126</v>
      </c>
      <c r="C17" s="87">
        <f>SUM(C10:C16)</f>
        <v>97</v>
      </c>
      <c r="D17" s="92">
        <f>(C17/(B17-5))</f>
        <v>0.80165289256198347</v>
      </c>
      <c r="E17" s="87">
        <f>SUM(E10:E16)</f>
        <v>3</v>
      </c>
      <c r="F17" s="92">
        <f>(E17/5)</f>
        <v>0.6</v>
      </c>
      <c r="G17" s="87">
        <f>SUM(G10:G16)</f>
        <v>106</v>
      </c>
      <c r="H17" s="92">
        <f>(G17/(B17))</f>
        <v>0.84126984126984128</v>
      </c>
      <c r="I17" s="87">
        <f>SUM(I10:I16)</f>
        <v>113</v>
      </c>
      <c r="J17" s="92">
        <f>(I17/(B17))</f>
        <v>0.89682539682539686</v>
      </c>
      <c r="K17" s="87">
        <f>SUM(K10:K16)</f>
        <v>96</v>
      </c>
      <c r="L17" s="92">
        <f>K17/B17</f>
        <v>0.76190476190476186</v>
      </c>
      <c r="M17" s="87">
        <f>SUM(M10:M16)</f>
        <v>114</v>
      </c>
      <c r="N17" s="92">
        <f>(M17/(B17))</f>
        <v>0.90476190476190477</v>
      </c>
      <c r="O17" s="87">
        <f>SUM(O10:O16)</f>
        <v>116</v>
      </c>
      <c r="P17" s="92">
        <f>(O17/(B17))</f>
        <v>0.92063492063492058</v>
      </c>
      <c r="Q17" s="87">
        <f>SUM(Q10:Q16)</f>
        <v>115</v>
      </c>
      <c r="R17" s="92">
        <f>(Q17/(B17))</f>
        <v>0.91269841269841268</v>
      </c>
      <c r="S17" s="87">
        <f>SUM(S10:S16)</f>
        <v>109</v>
      </c>
      <c r="T17" s="92">
        <f>(S17/(B17))</f>
        <v>0.86507936507936511</v>
      </c>
      <c r="U17" s="87">
        <f>SUM(U10:U16)</f>
        <v>124</v>
      </c>
      <c r="V17" s="92">
        <f>(U17/(B17))</f>
        <v>0.98412698412698407</v>
      </c>
      <c r="W17" s="87">
        <f>SUM(W10:W16)</f>
        <v>38</v>
      </c>
      <c r="X17" s="113">
        <f>W17/(10+9+3+4+6+7)</f>
        <v>0.97435897435897434</v>
      </c>
      <c r="Y17" s="87">
        <f>SUM(Y10:Y16)</f>
        <v>112</v>
      </c>
      <c r="Z17" s="796">
        <f t="shared" si="9"/>
        <v>0.88888888888888884</v>
      </c>
    </row>
    <row r="18" spans="1:26" s="9" customFormat="1" ht="14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</row>
    <row r="19" spans="1:26" s="9" customFormat="1" ht="12" customHeight="1" thickBot="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</row>
    <row r="20" spans="1:26" ht="34.5" customHeight="1" thickBot="1">
      <c r="D20" s="68"/>
      <c r="E20" s="1205"/>
      <c r="F20" s="1273" t="s">
        <v>545</v>
      </c>
      <c r="G20" s="1274"/>
      <c r="H20" s="1275"/>
      <c r="I20" s="1270" t="s">
        <v>636</v>
      </c>
      <c r="J20" s="1271"/>
      <c r="K20" s="1272"/>
      <c r="L20" s="1273" t="s">
        <v>549</v>
      </c>
      <c r="M20" s="1274"/>
      <c r="N20" s="1275"/>
      <c r="O20" s="1273" t="s">
        <v>547</v>
      </c>
      <c r="P20" s="1274"/>
      <c r="Q20" s="1275"/>
      <c r="R20" s="1273" t="s">
        <v>548</v>
      </c>
      <c r="S20" s="1274"/>
      <c r="T20" s="1275"/>
      <c r="U20" s="1273" t="s">
        <v>283</v>
      </c>
      <c r="V20" s="1274"/>
      <c r="W20" s="1275"/>
      <c r="X20" s="1273" t="s">
        <v>595</v>
      </c>
      <c r="Y20" s="1274"/>
      <c r="Z20" s="1275"/>
    </row>
    <row r="21" spans="1:26" ht="15.75" customHeight="1" thickBot="1">
      <c r="A21" s="15"/>
      <c r="B21" s="15"/>
      <c r="C21" s="258"/>
      <c r="D21" s="68"/>
      <c r="E21" s="1344"/>
      <c r="F21" s="1266" t="s">
        <v>546</v>
      </c>
      <c r="G21" s="1267"/>
      <c r="H21" s="1240" t="s">
        <v>147</v>
      </c>
      <c r="I21" s="1266" t="s">
        <v>546</v>
      </c>
      <c r="J21" s="1267"/>
      <c r="K21" s="1240" t="s">
        <v>147</v>
      </c>
      <c r="L21" s="1266" t="s">
        <v>546</v>
      </c>
      <c r="M21" s="1267"/>
      <c r="N21" s="1241" t="s">
        <v>147</v>
      </c>
      <c r="O21" s="1266" t="s">
        <v>546</v>
      </c>
      <c r="P21" s="1267"/>
      <c r="Q21" s="1241" t="s">
        <v>147</v>
      </c>
      <c r="R21" s="1266" t="s">
        <v>546</v>
      </c>
      <c r="S21" s="1267"/>
      <c r="T21" s="1241" t="s">
        <v>147</v>
      </c>
      <c r="U21" s="1266" t="s">
        <v>546</v>
      </c>
      <c r="V21" s="1267"/>
      <c r="W21" s="1241" t="s">
        <v>147</v>
      </c>
      <c r="X21" s="1266" t="s">
        <v>546</v>
      </c>
      <c r="Y21" s="1267"/>
      <c r="Z21" s="1241" t="s">
        <v>147</v>
      </c>
    </row>
    <row r="22" spans="1:26" ht="13.5" customHeight="1" thickBot="1">
      <c r="A22" s="15"/>
      <c r="B22" s="15"/>
      <c r="C22" s="259"/>
      <c r="D22" s="1114"/>
      <c r="E22" s="1344"/>
      <c r="F22" s="1268"/>
      <c r="G22" s="1269"/>
      <c r="H22" s="1242"/>
      <c r="I22" s="1268"/>
      <c r="J22" s="1269"/>
      <c r="K22" s="1242"/>
      <c r="L22" s="1268"/>
      <c r="M22" s="1269"/>
      <c r="N22" s="1242"/>
      <c r="O22" s="1268"/>
      <c r="P22" s="1269"/>
      <c r="Q22" s="1242"/>
      <c r="R22" s="1268"/>
      <c r="S22" s="1269"/>
      <c r="T22" s="1242"/>
      <c r="U22" s="1268"/>
      <c r="V22" s="1269"/>
      <c r="W22" s="1242"/>
      <c r="X22" s="1268"/>
      <c r="Y22" s="1269"/>
      <c r="Z22" s="1242"/>
    </row>
    <row r="23" spans="1:26" ht="15.75" thickBot="1">
      <c r="A23" s="15"/>
      <c r="B23" s="15"/>
      <c r="D23" s="1115"/>
      <c r="E23" s="478" t="s">
        <v>12</v>
      </c>
      <c r="F23" s="1339">
        <v>0</v>
      </c>
      <c r="G23" s="1251"/>
      <c r="H23" s="414">
        <f>F23/B10</f>
        <v>0</v>
      </c>
      <c r="I23" s="1339">
        <v>0</v>
      </c>
      <c r="J23" s="1251"/>
      <c r="K23" s="414">
        <v>0</v>
      </c>
      <c r="L23" s="1256">
        <v>0</v>
      </c>
      <c r="M23" s="1257"/>
      <c r="N23" s="798">
        <f>L23/B10</f>
        <v>0</v>
      </c>
      <c r="O23" s="1256">
        <v>6</v>
      </c>
      <c r="P23" s="1257"/>
      <c r="Q23" s="798">
        <f>O23/B10</f>
        <v>0.31578947368421051</v>
      </c>
      <c r="R23" s="1340">
        <v>13</v>
      </c>
      <c r="S23" s="1341"/>
      <c r="T23" s="1033">
        <f>R23/B10</f>
        <v>0.68421052631578949</v>
      </c>
      <c r="U23" s="1254">
        <v>18</v>
      </c>
      <c r="V23" s="1255"/>
      <c r="W23" s="799">
        <f>U23/B10</f>
        <v>0.94736842105263153</v>
      </c>
      <c r="X23" s="1254">
        <f>B10-U23</f>
        <v>1</v>
      </c>
      <c r="Y23" s="1255"/>
      <c r="Z23" s="799">
        <f>X23/B10</f>
        <v>5.2631578947368418E-2</v>
      </c>
    </row>
    <row r="24" spans="1:26" ht="15.75" thickBot="1">
      <c r="A24" s="15"/>
      <c r="B24" s="15"/>
      <c r="D24" s="1115"/>
      <c r="E24" s="478" t="s">
        <v>11</v>
      </c>
      <c r="F24" s="1339">
        <v>0</v>
      </c>
      <c r="G24" s="1251"/>
      <c r="H24" s="414">
        <f t="shared" ref="H24:H29" si="10">F24/B11</f>
        <v>0</v>
      </c>
      <c r="I24" s="1339">
        <v>0</v>
      </c>
      <c r="J24" s="1251"/>
      <c r="K24" s="414">
        <v>0</v>
      </c>
      <c r="L24" s="1252">
        <v>0</v>
      </c>
      <c r="M24" s="1253"/>
      <c r="N24" s="798">
        <f t="shared" ref="N24:N29" si="11">L24/B11</f>
        <v>0</v>
      </c>
      <c r="O24" s="1252">
        <v>12</v>
      </c>
      <c r="P24" s="1253"/>
      <c r="Q24" s="798">
        <f t="shared" ref="Q24:Q29" si="12">O24/B11</f>
        <v>0.54545454545454541</v>
      </c>
      <c r="R24" s="1252">
        <v>15</v>
      </c>
      <c r="S24" s="1253"/>
      <c r="T24" s="800">
        <f t="shared" ref="T24:T29" si="13">R24/B11</f>
        <v>0.68181818181818177</v>
      </c>
      <c r="U24" s="1254">
        <v>20</v>
      </c>
      <c r="V24" s="1255"/>
      <c r="W24" s="799">
        <f t="shared" ref="W24:W29" si="14">U24/B11</f>
        <v>0.90909090909090906</v>
      </c>
      <c r="X24" s="1254">
        <f t="shared" ref="X24:X29" si="15">B11-U24</f>
        <v>2</v>
      </c>
      <c r="Y24" s="1255"/>
      <c r="Z24" s="799">
        <f t="shared" ref="Z24:Z30" si="16">X24/B11</f>
        <v>9.0909090909090912E-2</v>
      </c>
    </row>
    <row r="25" spans="1:26" ht="15.75" thickBot="1">
      <c r="A25" s="15"/>
      <c r="B25" s="15"/>
      <c r="D25" s="1115"/>
      <c r="E25" s="478" t="s">
        <v>10</v>
      </c>
      <c r="F25" s="1339">
        <v>0</v>
      </c>
      <c r="G25" s="1251"/>
      <c r="H25" s="414">
        <f t="shared" si="10"/>
        <v>0</v>
      </c>
      <c r="I25" s="1339">
        <v>0</v>
      </c>
      <c r="J25" s="1251"/>
      <c r="K25" s="414">
        <v>0</v>
      </c>
      <c r="L25" s="1252">
        <v>0</v>
      </c>
      <c r="M25" s="1253"/>
      <c r="N25" s="798">
        <f t="shared" si="11"/>
        <v>0</v>
      </c>
      <c r="O25" s="1252">
        <v>4</v>
      </c>
      <c r="P25" s="1253"/>
      <c r="Q25" s="798">
        <f t="shared" si="12"/>
        <v>0.21052631578947367</v>
      </c>
      <c r="R25" s="1252">
        <v>15</v>
      </c>
      <c r="S25" s="1253"/>
      <c r="T25" s="800">
        <f t="shared" si="13"/>
        <v>0.78947368421052633</v>
      </c>
      <c r="U25" s="1254">
        <v>19</v>
      </c>
      <c r="V25" s="1255"/>
      <c r="W25" s="799">
        <f t="shared" si="14"/>
        <v>1</v>
      </c>
      <c r="X25" s="1254">
        <f t="shared" si="15"/>
        <v>0</v>
      </c>
      <c r="Y25" s="1255"/>
      <c r="Z25" s="799">
        <f t="shared" si="16"/>
        <v>0</v>
      </c>
    </row>
    <row r="26" spans="1:26" ht="15.75" thickBot="1">
      <c r="A26" s="15"/>
      <c r="B26" s="15"/>
      <c r="D26" s="1115"/>
      <c r="E26" s="478" t="s">
        <v>9</v>
      </c>
      <c r="F26" s="1339">
        <v>2</v>
      </c>
      <c r="G26" s="1251"/>
      <c r="H26" s="414">
        <f t="shared" si="10"/>
        <v>0.14285714285714285</v>
      </c>
      <c r="I26" s="1339">
        <v>2</v>
      </c>
      <c r="J26" s="1251"/>
      <c r="K26" s="414">
        <f>I26/B13</f>
        <v>0.14285714285714285</v>
      </c>
      <c r="L26" s="1252">
        <v>1</v>
      </c>
      <c r="M26" s="1253"/>
      <c r="N26" s="798">
        <f t="shared" si="11"/>
        <v>7.1428571428571425E-2</v>
      </c>
      <c r="O26" s="1252">
        <v>5</v>
      </c>
      <c r="P26" s="1253"/>
      <c r="Q26" s="798">
        <f t="shared" si="12"/>
        <v>0.35714285714285715</v>
      </c>
      <c r="R26" s="1252">
        <v>8</v>
      </c>
      <c r="S26" s="1253"/>
      <c r="T26" s="800">
        <f t="shared" si="13"/>
        <v>0.5714285714285714</v>
      </c>
      <c r="U26" s="1345">
        <v>12</v>
      </c>
      <c r="V26" s="1346"/>
      <c r="W26" s="799">
        <f t="shared" si="14"/>
        <v>0.8571428571428571</v>
      </c>
      <c r="X26" s="1254">
        <f t="shared" si="15"/>
        <v>2</v>
      </c>
      <c r="Y26" s="1255"/>
      <c r="Z26" s="799">
        <f t="shared" si="16"/>
        <v>0.14285714285714285</v>
      </c>
    </row>
    <row r="27" spans="1:26" ht="15.75" thickBot="1">
      <c r="A27" s="15"/>
      <c r="B27" s="15"/>
      <c r="D27" s="1115"/>
      <c r="E27" s="478" t="s">
        <v>8</v>
      </c>
      <c r="F27" s="1339">
        <v>1</v>
      </c>
      <c r="G27" s="1251"/>
      <c r="H27" s="414">
        <f t="shared" si="10"/>
        <v>4.5454545454545456E-2</v>
      </c>
      <c r="I27" s="1339">
        <v>1</v>
      </c>
      <c r="J27" s="1251"/>
      <c r="K27" s="414">
        <f t="shared" ref="K27:K29" si="17">I27/B14</f>
        <v>4.5454545454545456E-2</v>
      </c>
      <c r="L27" s="1252">
        <v>0</v>
      </c>
      <c r="M27" s="1253"/>
      <c r="N27" s="798">
        <f t="shared" si="11"/>
        <v>0</v>
      </c>
      <c r="O27" s="1252">
        <v>3</v>
      </c>
      <c r="P27" s="1253"/>
      <c r="Q27" s="798">
        <f t="shared" si="12"/>
        <v>0.13636363636363635</v>
      </c>
      <c r="R27" s="1252">
        <v>17</v>
      </c>
      <c r="S27" s="1253"/>
      <c r="T27" s="800">
        <f t="shared" si="13"/>
        <v>0.77272727272727271</v>
      </c>
      <c r="U27" s="1345">
        <v>21</v>
      </c>
      <c r="V27" s="1346"/>
      <c r="W27" s="799">
        <f t="shared" si="14"/>
        <v>0.95454545454545459</v>
      </c>
      <c r="X27" s="1254">
        <f t="shared" si="15"/>
        <v>1</v>
      </c>
      <c r="Y27" s="1255"/>
      <c r="Z27" s="799">
        <f t="shared" si="16"/>
        <v>4.5454545454545456E-2</v>
      </c>
    </row>
    <row r="28" spans="1:26" ht="15.75" thickBot="1">
      <c r="A28" s="15"/>
      <c r="B28" s="15"/>
      <c r="D28" s="1115"/>
      <c r="E28" s="478" t="s">
        <v>502</v>
      </c>
      <c r="F28" s="1339">
        <v>1</v>
      </c>
      <c r="G28" s="1251"/>
      <c r="H28" s="414">
        <f t="shared" si="10"/>
        <v>5.8823529411764705E-2</v>
      </c>
      <c r="I28" s="1339">
        <v>1</v>
      </c>
      <c r="J28" s="1251"/>
      <c r="K28" s="414">
        <f t="shared" si="17"/>
        <v>5.8823529411764705E-2</v>
      </c>
      <c r="L28" s="1252">
        <v>0</v>
      </c>
      <c r="M28" s="1253"/>
      <c r="N28" s="798">
        <f t="shared" si="11"/>
        <v>0</v>
      </c>
      <c r="O28" s="1252">
        <v>8</v>
      </c>
      <c r="P28" s="1253"/>
      <c r="Q28" s="798">
        <f t="shared" si="12"/>
        <v>0.47058823529411764</v>
      </c>
      <c r="R28" s="1252">
        <v>7</v>
      </c>
      <c r="S28" s="1253"/>
      <c r="T28" s="800">
        <f t="shared" si="13"/>
        <v>0.41176470588235292</v>
      </c>
      <c r="U28" s="1345">
        <v>12</v>
      </c>
      <c r="V28" s="1346"/>
      <c r="W28" s="799">
        <f t="shared" si="14"/>
        <v>0.70588235294117652</v>
      </c>
      <c r="X28" s="1254">
        <f t="shared" si="15"/>
        <v>5</v>
      </c>
      <c r="Y28" s="1255"/>
      <c r="Z28" s="799">
        <f t="shared" si="16"/>
        <v>0.29411764705882354</v>
      </c>
    </row>
    <row r="29" spans="1:26" ht="15.75" thickBot="1">
      <c r="A29" s="15"/>
      <c r="B29" s="15"/>
      <c r="D29" s="1115"/>
      <c r="E29" s="478" t="s">
        <v>503</v>
      </c>
      <c r="F29" s="1342">
        <v>1</v>
      </c>
      <c r="G29" s="1294"/>
      <c r="H29" s="414">
        <f t="shared" si="10"/>
        <v>7.6923076923076927E-2</v>
      </c>
      <c r="I29" s="1342">
        <v>1</v>
      </c>
      <c r="J29" s="1294"/>
      <c r="K29" s="414">
        <f t="shared" si="17"/>
        <v>7.6923076923076927E-2</v>
      </c>
      <c r="L29" s="1295">
        <v>0</v>
      </c>
      <c r="M29" s="1296"/>
      <c r="N29" s="1034">
        <f t="shared" si="11"/>
        <v>0</v>
      </c>
      <c r="O29" s="1295">
        <v>4</v>
      </c>
      <c r="P29" s="1296"/>
      <c r="Q29" s="1034">
        <f t="shared" si="12"/>
        <v>0.30769230769230771</v>
      </c>
      <c r="R29" s="1295">
        <v>6</v>
      </c>
      <c r="S29" s="1296"/>
      <c r="T29" s="1033">
        <f t="shared" si="13"/>
        <v>0.46153846153846156</v>
      </c>
      <c r="U29" s="1345">
        <v>12</v>
      </c>
      <c r="V29" s="1346"/>
      <c r="W29" s="799">
        <f t="shared" si="14"/>
        <v>0.92307692307692313</v>
      </c>
      <c r="X29" s="1254">
        <f t="shared" si="15"/>
        <v>1</v>
      </c>
      <c r="Y29" s="1255"/>
      <c r="Z29" s="799">
        <f t="shared" si="16"/>
        <v>7.6923076923076927E-2</v>
      </c>
    </row>
    <row r="30" spans="1:26" ht="15.75" thickBot="1">
      <c r="A30" s="15"/>
      <c r="B30" s="15"/>
      <c r="D30" s="1115"/>
      <c r="E30" s="478" t="s">
        <v>0</v>
      </c>
      <c r="F30" s="1343">
        <f>SUM(F23:F29)</f>
        <v>5</v>
      </c>
      <c r="G30" s="1247"/>
      <c r="H30" s="194">
        <f>F30/B17</f>
        <v>3.968253968253968E-2</v>
      </c>
      <c r="I30" s="1343">
        <f>SUM(I23:I29)</f>
        <v>5</v>
      </c>
      <c r="J30" s="1247"/>
      <c r="K30" s="194">
        <f>I30/B17</f>
        <v>3.968253968253968E-2</v>
      </c>
      <c r="L30" s="1246">
        <f>SUM(L23:M29)</f>
        <v>1</v>
      </c>
      <c r="M30" s="1247"/>
      <c r="N30" s="194">
        <f>L30/B17</f>
        <v>7.9365079365079361E-3</v>
      </c>
      <c r="O30" s="1246">
        <f>SUM(O23:P29)</f>
        <v>42</v>
      </c>
      <c r="P30" s="1247"/>
      <c r="Q30" s="194">
        <f>O30/B17</f>
        <v>0.33333333333333331</v>
      </c>
      <c r="R30" s="1248">
        <f>SUM(R23:R29)</f>
        <v>81</v>
      </c>
      <c r="S30" s="1249"/>
      <c r="T30" s="801">
        <f>R30/B17</f>
        <v>0.6428571428571429</v>
      </c>
      <c r="U30" s="1276">
        <f>SUM(U23:V29)</f>
        <v>114</v>
      </c>
      <c r="V30" s="1249"/>
      <c r="W30" s="802">
        <f>U30/B17</f>
        <v>0.90476190476190477</v>
      </c>
      <c r="X30" s="1276">
        <f>SUM(X23:Y29)</f>
        <v>12</v>
      </c>
      <c r="Y30" s="1249"/>
      <c r="Z30" s="802">
        <f t="shared" si="16"/>
        <v>9.5238095238095233E-2</v>
      </c>
    </row>
    <row r="31" spans="1:26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</row>
    <row r="32" spans="1:26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</row>
    <row r="33" spans="1:20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</row>
    <row r="34" spans="1:20">
      <c r="A34" s="15"/>
      <c r="B34" s="15"/>
      <c r="C34" s="15"/>
      <c r="D34" s="15"/>
      <c r="E34" s="15"/>
      <c r="F34" s="15"/>
      <c r="G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</row>
    <row r="35" spans="1:20">
      <c r="A35" s="15"/>
      <c r="B35" s="15"/>
      <c r="C35" s="15"/>
      <c r="D35" s="15"/>
      <c r="E35" s="15"/>
      <c r="F35" s="15"/>
      <c r="G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</row>
    <row r="36" spans="1:20">
      <c r="A36" s="15"/>
      <c r="B36" s="15"/>
      <c r="C36" s="15"/>
      <c r="D36" s="15"/>
      <c r="E36" s="15"/>
      <c r="F36" s="15"/>
      <c r="G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</row>
    <row r="37" spans="1:20">
      <c r="A37" s="15"/>
      <c r="B37" s="15"/>
      <c r="C37" s="15"/>
      <c r="D37" s="15"/>
      <c r="E37" s="15"/>
      <c r="F37" s="15"/>
      <c r="G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</row>
    <row r="38" spans="1:20">
      <c r="A38" s="15"/>
      <c r="B38" s="15"/>
      <c r="C38" s="15"/>
      <c r="D38" s="15"/>
      <c r="E38" s="15"/>
      <c r="F38" s="15"/>
      <c r="G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</row>
    <row r="39" spans="1:20">
      <c r="A39" s="15"/>
      <c r="B39" s="15"/>
      <c r="C39" s="15"/>
      <c r="D39" s="15"/>
      <c r="E39" s="15"/>
      <c r="F39" s="15"/>
      <c r="G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</row>
    <row r="40" spans="1:20">
      <c r="A40" s="15"/>
      <c r="B40" s="15"/>
      <c r="C40" s="15"/>
      <c r="D40" s="15"/>
      <c r="E40" s="15"/>
      <c r="F40" s="15"/>
      <c r="G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</row>
    <row r="41" spans="1:20">
      <c r="A41" s="15"/>
      <c r="B41" s="15"/>
      <c r="C41" s="15"/>
      <c r="D41" s="15"/>
      <c r="E41" s="15"/>
      <c r="F41" s="15"/>
      <c r="G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</row>
    <row r="42" spans="1:20">
      <c r="A42" s="15"/>
      <c r="B42" s="15"/>
      <c r="C42" s="15"/>
      <c r="D42" s="15"/>
      <c r="E42" s="15"/>
      <c r="F42" s="15"/>
      <c r="G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</row>
    <row r="43" spans="1:20">
      <c r="A43" s="15"/>
      <c r="B43" s="15"/>
      <c r="C43" s="15"/>
      <c r="D43" s="15"/>
      <c r="E43" s="15"/>
      <c r="F43" s="15"/>
      <c r="G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</row>
    <row r="44" spans="1:20">
      <c r="A44" s="15"/>
      <c r="B44" s="15"/>
      <c r="C44" s="15"/>
      <c r="D44" s="15"/>
      <c r="E44" s="15"/>
      <c r="F44" s="15"/>
      <c r="G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</row>
    <row r="45" spans="1:20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</row>
    <row r="46" spans="1:20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</row>
    <row r="47" spans="1:20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</row>
    <row r="48" spans="1:20">
      <c r="A48" s="15"/>
    </row>
    <row r="49" spans="1:1">
      <c r="A49" s="15"/>
    </row>
    <row r="50" spans="1:1">
      <c r="A50" s="15"/>
    </row>
    <row r="51" spans="1:1">
      <c r="A51" s="15"/>
    </row>
    <row r="52" spans="1:1">
      <c r="A52" s="15"/>
    </row>
    <row r="53" spans="1:1">
      <c r="A53" s="15"/>
    </row>
    <row r="54" spans="1:1">
      <c r="A54" s="15"/>
    </row>
    <row r="55" spans="1:1">
      <c r="A55" s="15"/>
    </row>
    <row r="56" spans="1:1">
      <c r="A56" s="15"/>
    </row>
    <row r="57" spans="1:1">
      <c r="A57" s="15"/>
    </row>
    <row r="58" spans="1:1">
      <c r="A58" s="15"/>
    </row>
    <row r="59" spans="1:1">
      <c r="A59" s="15"/>
    </row>
    <row r="60" spans="1:1">
      <c r="A60" s="15"/>
    </row>
    <row r="61" spans="1:1">
      <c r="A61" s="15"/>
    </row>
    <row r="62" spans="1:1">
      <c r="A62" s="15"/>
    </row>
    <row r="63" spans="1:1">
      <c r="A63" s="15"/>
    </row>
    <row r="64" spans="1:1">
      <c r="A64" s="15"/>
    </row>
    <row r="65" spans="1:1">
      <c r="A65" s="15"/>
    </row>
    <row r="66" spans="1:1">
      <c r="A66" s="15"/>
    </row>
    <row r="67" spans="1:1">
      <c r="A67" s="15"/>
    </row>
    <row r="68" spans="1:1">
      <c r="A68" s="15"/>
    </row>
    <row r="69" spans="1:1">
      <c r="A69" s="15"/>
    </row>
    <row r="70" spans="1:1">
      <c r="A70" s="15"/>
    </row>
    <row r="71" spans="1:1">
      <c r="A71" s="15"/>
    </row>
    <row r="72" spans="1:1">
      <c r="A72" s="15"/>
    </row>
    <row r="73" spans="1:1">
      <c r="A73" s="15"/>
    </row>
    <row r="74" spans="1:1">
      <c r="A74" s="15"/>
    </row>
    <row r="75" spans="1:1">
      <c r="A75" s="15"/>
    </row>
    <row r="76" spans="1:1">
      <c r="A76" s="15"/>
    </row>
    <row r="77" spans="1:1">
      <c r="A77" s="15"/>
    </row>
    <row r="78" spans="1:1">
      <c r="A78" s="15"/>
    </row>
    <row r="79" spans="1:1">
      <c r="A79" s="15"/>
    </row>
    <row r="80" spans="1:1">
      <c r="A80" s="15"/>
    </row>
    <row r="81" spans="1:20">
      <c r="A81" s="15"/>
    </row>
    <row r="82" spans="1:20">
      <c r="A82" s="15"/>
    </row>
    <row r="83" spans="1:20">
      <c r="A83" s="15"/>
    </row>
    <row r="84" spans="1:20">
      <c r="A84" s="15"/>
    </row>
    <row r="85" spans="1:20">
      <c r="A85" s="15"/>
    </row>
    <row r="86" spans="1:20">
      <c r="A86" s="15"/>
    </row>
    <row r="87" spans="1:20">
      <c r="A87" s="15"/>
    </row>
    <row r="88" spans="1:20">
      <c r="A88" s="15"/>
    </row>
    <row r="89" spans="1:20">
      <c r="A89" s="15"/>
    </row>
    <row r="90" spans="1:20">
      <c r="A90" s="15"/>
    </row>
    <row r="91" spans="1:20">
      <c r="A91" s="15"/>
    </row>
    <row r="92" spans="1:20">
      <c r="A92" s="15"/>
    </row>
    <row r="93" spans="1:20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</row>
    <row r="94" spans="1:20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</row>
    <row r="95" spans="1:20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</row>
    <row r="96" spans="1:20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</row>
    <row r="97" spans="1:20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</row>
    <row r="98" spans="1:20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</row>
    <row r="99" spans="1:20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</row>
    <row r="100" spans="1:20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</row>
    <row r="101" spans="1:20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</row>
    <row r="102" spans="1:20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</row>
    <row r="103" spans="1:20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</row>
    <row r="104" spans="1:20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</row>
    <row r="105" spans="1:20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</row>
    <row r="106" spans="1:20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</row>
    <row r="107" spans="1:20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</row>
    <row r="108" spans="1:20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</row>
    <row r="109" spans="1:20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</row>
    <row r="110" spans="1:20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</row>
    <row r="111" spans="1:20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</row>
    <row r="112" spans="1:20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</row>
    <row r="113" spans="1:20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</row>
    <row r="114" spans="1:20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</row>
    <row r="115" spans="1:20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</row>
    <row r="116" spans="1:20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</row>
    <row r="117" spans="1:20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</row>
    <row r="118" spans="1:20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</row>
    <row r="119" spans="1:20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</row>
    <row r="120" spans="1:20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</row>
    <row r="121" spans="1:20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</row>
    <row r="122" spans="1:20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</row>
    <row r="123" spans="1:20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</row>
    <row r="124" spans="1:20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</row>
    <row r="125" spans="1:20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</row>
    <row r="126" spans="1:20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</row>
    <row r="127" spans="1:20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</row>
    <row r="128" spans="1:20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</row>
    <row r="129" spans="1:20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</row>
    <row r="130" spans="1:20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</row>
    <row r="131" spans="1:20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</row>
    <row r="132" spans="1:20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</row>
    <row r="133" spans="1:20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</row>
    <row r="134" spans="1:20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</row>
    <row r="135" spans="1:20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</row>
    <row r="136" spans="1:20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</row>
    <row r="137" spans="1:20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</row>
    <row r="138" spans="1:20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</row>
    <row r="139" spans="1:20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</row>
    <row r="140" spans="1:20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</row>
    <row r="141" spans="1:20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</row>
    <row r="142" spans="1:20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</row>
    <row r="143" spans="1:20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</row>
    <row r="144" spans="1:20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</row>
    <row r="145" spans="1:20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</row>
    <row r="146" spans="1:20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</row>
    <row r="147" spans="1:20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</row>
    <row r="148" spans="1:20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</row>
    <row r="149" spans="1:20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</row>
    <row r="150" spans="1:20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</row>
    <row r="151" spans="1:20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</row>
    <row r="152" spans="1:20">
      <c r="A152" s="15"/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</row>
    <row r="153" spans="1:20">
      <c r="A153" s="15"/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</row>
    <row r="154" spans="1:20">
      <c r="A154" s="15"/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</row>
    <row r="155" spans="1:20">
      <c r="A155" s="15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</row>
    <row r="156" spans="1:20">
      <c r="A156" s="15"/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</row>
    <row r="157" spans="1:20">
      <c r="A157" s="15"/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</row>
    <row r="158" spans="1:20">
      <c r="A158" s="15"/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</row>
    <row r="159" spans="1:20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</row>
    <row r="160" spans="1:20">
      <c r="A160" s="15"/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</row>
    <row r="161" spans="1:20">
      <c r="A161" s="15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</row>
    <row r="162" spans="1:20">
      <c r="A162" s="15"/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</row>
    <row r="163" spans="1:20">
      <c r="A163" s="15"/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</row>
    <row r="164" spans="1:20">
      <c r="A164" s="15"/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</row>
    <row r="165" spans="1:20">
      <c r="A165" s="15"/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</row>
    <row r="166" spans="1:20">
      <c r="A166" s="15"/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</row>
    <row r="167" spans="1:20">
      <c r="A167" s="15"/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</row>
    <row r="168" spans="1:20">
      <c r="A168" s="15"/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</row>
    <row r="169" spans="1:20">
      <c r="A169" s="15"/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</row>
    <row r="170" spans="1:20">
      <c r="A170" s="15"/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</row>
    <row r="171" spans="1:20">
      <c r="A171" s="15"/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</row>
    <row r="172" spans="1:20">
      <c r="A172" s="15"/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</row>
    <row r="173" spans="1:20">
      <c r="A173" s="15"/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</row>
    <row r="174" spans="1:20">
      <c r="A174" s="15"/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</row>
    <row r="175" spans="1:20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</row>
    <row r="176" spans="1:20">
      <c r="A176" s="15"/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</row>
    <row r="177" spans="1:20">
      <c r="A177" s="15"/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</row>
    <row r="178" spans="1:20">
      <c r="A178" s="15"/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</row>
    <row r="179" spans="1:20">
      <c r="A179" s="15"/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</row>
    <row r="180" spans="1:20">
      <c r="A180" s="15"/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</row>
    <row r="181" spans="1:20">
      <c r="A181" s="15"/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</row>
    <row r="182" spans="1:20">
      <c r="A182" s="15"/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</row>
    <row r="183" spans="1:20">
      <c r="A183" s="15"/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</row>
    <row r="184" spans="1:20">
      <c r="A184" s="15"/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</row>
    <row r="185" spans="1:20">
      <c r="A185" s="15"/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</row>
    <row r="186" spans="1:20">
      <c r="A186" s="15"/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</row>
    <row r="187" spans="1:20">
      <c r="A187" s="15"/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</row>
    <row r="188" spans="1:20">
      <c r="A188" s="15"/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</row>
    <row r="189" spans="1:20">
      <c r="A189" s="15"/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</row>
    <row r="190" spans="1:20">
      <c r="A190" s="15"/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</row>
    <row r="191" spans="1:20">
      <c r="A191" s="15"/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</row>
    <row r="192" spans="1:20">
      <c r="A192" s="15"/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</row>
    <row r="193" spans="1:20">
      <c r="A193" s="15"/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</row>
    <row r="194" spans="1:20">
      <c r="A194" s="15"/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</row>
    <row r="195" spans="1:20">
      <c r="A195" s="15"/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</row>
    <row r="196" spans="1:20">
      <c r="A196" s="15"/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</row>
    <row r="197" spans="1:20">
      <c r="A197" s="15"/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</row>
    <row r="198" spans="1:20">
      <c r="A198" s="15"/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</row>
    <row r="199" spans="1:20">
      <c r="A199" s="15"/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</row>
    <row r="200" spans="1:20">
      <c r="A200" s="15"/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</row>
    <row r="201" spans="1:20">
      <c r="A201" s="15"/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</row>
    <row r="202" spans="1:20">
      <c r="A202" s="15"/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</row>
    <row r="203" spans="1:20">
      <c r="A203" s="15"/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</row>
    <row r="204" spans="1:20">
      <c r="A204" s="15"/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</row>
    <row r="205" spans="1:20">
      <c r="A205" s="15"/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</row>
  </sheetData>
  <mergeCells count="94">
    <mergeCell ref="Y7:Z7"/>
    <mergeCell ref="O7:P7"/>
    <mergeCell ref="Q7:R7"/>
    <mergeCell ref="S7:T7"/>
    <mergeCell ref="U7:V7"/>
    <mergeCell ref="W7:X7"/>
    <mergeCell ref="C7:D7"/>
    <mergeCell ref="G7:H7"/>
    <mergeCell ref="I7:J7"/>
    <mergeCell ref="K7:L7"/>
    <mergeCell ref="M7:N7"/>
    <mergeCell ref="E7:F7"/>
    <mergeCell ref="R29:S29"/>
    <mergeCell ref="U29:V29"/>
    <mergeCell ref="L30:M30"/>
    <mergeCell ref="O30:P30"/>
    <mergeCell ref="R30:S30"/>
    <mergeCell ref="U30:V30"/>
    <mergeCell ref="R25:S25"/>
    <mergeCell ref="U25:V25"/>
    <mergeCell ref="L26:M26"/>
    <mergeCell ref="O26:P26"/>
    <mergeCell ref="R26:S26"/>
    <mergeCell ref="U26:V26"/>
    <mergeCell ref="O27:P27"/>
    <mergeCell ref="R27:S27"/>
    <mergeCell ref="U27:V27"/>
    <mergeCell ref="R28:S28"/>
    <mergeCell ref="U28:V28"/>
    <mergeCell ref="U23:V23"/>
    <mergeCell ref="U20:W20"/>
    <mergeCell ref="U21:V22"/>
    <mergeCell ref="R24:S24"/>
    <mergeCell ref="U24:V24"/>
    <mergeCell ref="W21:W22"/>
    <mergeCell ref="K21:K22"/>
    <mergeCell ref="L21:M22"/>
    <mergeCell ref="N21:N22"/>
    <mergeCell ref="O21:P22"/>
    <mergeCell ref="E21:E22"/>
    <mergeCell ref="I21:J22"/>
    <mergeCell ref="H21:H22"/>
    <mergeCell ref="F20:H20"/>
    <mergeCell ref="F21:G22"/>
    <mergeCell ref="I30:J30"/>
    <mergeCell ref="I28:J28"/>
    <mergeCell ref="F28:G28"/>
    <mergeCell ref="F29:G29"/>
    <mergeCell ref="F30:G30"/>
    <mergeCell ref="I24:J24"/>
    <mergeCell ref="I26:J26"/>
    <mergeCell ref="I27:J27"/>
    <mergeCell ref="F23:G23"/>
    <mergeCell ref="F24:G24"/>
    <mergeCell ref="F25:G25"/>
    <mergeCell ref="F26:G26"/>
    <mergeCell ref="F27:G27"/>
    <mergeCell ref="L28:M28"/>
    <mergeCell ref="O28:P28"/>
    <mergeCell ref="I29:J29"/>
    <mergeCell ref="L29:M29"/>
    <mergeCell ref="O29:P29"/>
    <mergeCell ref="L24:M24"/>
    <mergeCell ref="O24:P24"/>
    <mergeCell ref="I25:J25"/>
    <mergeCell ref="L25:M25"/>
    <mergeCell ref="O25:P25"/>
    <mergeCell ref="L27:M27"/>
    <mergeCell ref="A1:X2"/>
    <mergeCell ref="A3:X4"/>
    <mergeCell ref="A6:X6"/>
    <mergeCell ref="A8:A9"/>
    <mergeCell ref="I23:J23"/>
    <mergeCell ref="R21:S22"/>
    <mergeCell ref="L23:M23"/>
    <mergeCell ref="O23:P23"/>
    <mergeCell ref="R23:S23"/>
    <mergeCell ref="Q21:Q22"/>
    <mergeCell ref="T21:T22"/>
    <mergeCell ref="I20:K20"/>
    <mergeCell ref="L20:N20"/>
    <mergeCell ref="O20:Q20"/>
    <mergeCell ref="R20:T20"/>
    <mergeCell ref="X20:Z20"/>
    <mergeCell ref="X21:Y22"/>
    <mergeCell ref="Z21:Z22"/>
    <mergeCell ref="X23:Y23"/>
    <mergeCell ref="X24:Y24"/>
    <mergeCell ref="X30:Y30"/>
    <mergeCell ref="X25:Y25"/>
    <mergeCell ref="X26:Y26"/>
    <mergeCell ref="X27:Y27"/>
    <mergeCell ref="X28:Y28"/>
    <mergeCell ref="X29:Y29"/>
  </mergeCells>
  <phoneticPr fontId="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2" orientation="landscape" useFirstPageNumber="1" r:id="rId1"/>
  <headerFooter>
    <oddHeader>&amp;L&amp;"Trebuchet MS,Negrito"&amp;12&amp;K01+013AGRUPAMENTO DE ESCOLAS MIGUEL TORGA&amp;C
&amp;R&amp;"Trebuchet MS,Negrito itálico"&amp;12AUTOAVALIAÇÃO
3ºPeríodo  2012/13
Tabela VI</oddHeader>
    <oddFooter>&amp;C
&amp;R7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14B0"/>
  </sheetPr>
  <dimension ref="A1:AG36"/>
  <sheetViews>
    <sheetView showGridLines="0" workbookViewId="0">
      <selection activeCell="M28" sqref="M28:N28"/>
    </sheetView>
  </sheetViews>
  <sheetFormatPr defaultRowHeight="12.75"/>
  <cols>
    <col min="1" max="1" width="8" customWidth="1"/>
    <col min="2" max="2" width="7.5703125" customWidth="1"/>
    <col min="3" max="3" width="5.140625" bestFit="1" customWidth="1"/>
    <col min="4" max="4" width="5.7109375" bestFit="1" customWidth="1"/>
    <col min="5" max="6" width="5.7109375" customWidth="1"/>
    <col min="7" max="8" width="6.140625" bestFit="1" customWidth="1"/>
    <col min="9" max="9" width="5.28515625" bestFit="1" customWidth="1"/>
    <col min="10" max="10" width="5.7109375" bestFit="1" customWidth="1"/>
    <col min="11" max="11" width="6.7109375" customWidth="1"/>
    <col min="12" max="12" width="5.42578125" bestFit="1" customWidth="1"/>
    <col min="13" max="13" width="5.28515625" bestFit="1" customWidth="1"/>
    <col min="14" max="14" width="8.28515625" bestFit="1" customWidth="1"/>
    <col min="15" max="15" width="5.140625" bestFit="1" customWidth="1"/>
    <col min="16" max="16" width="5.7109375" customWidth="1"/>
    <col min="17" max="17" width="5.28515625" bestFit="1" customWidth="1"/>
    <col min="18" max="18" width="5.7109375" bestFit="1" customWidth="1"/>
    <col min="19" max="19" width="5.28515625" bestFit="1" customWidth="1"/>
    <col min="20" max="20" width="5.7109375" bestFit="1" customWidth="1"/>
    <col min="21" max="21" width="5.28515625" bestFit="1" customWidth="1"/>
    <col min="22" max="22" width="5.7109375" bestFit="1" customWidth="1"/>
    <col min="23" max="23" width="4.85546875" bestFit="1" customWidth="1"/>
    <col min="24" max="24" width="6.7109375" bestFit="1" customWidth="1"/>
    <col min="25" max="25" width="5.5703125" bestFit="1" customWidth="1"/>
    <col min="26" max="26" width="6.28515625" customWidth="1"/>
    <col min="27" max="27" width="8.28515625" customWidth="1"/>
    <col min="28" max="28" width="6.5703125" customWidth="1"/>
    <col min="29" max="29" width="5.85546875" customWidth="1"/>
    <col min="30" max="30" width="7.140625" customWidth="1"/>
  </cols>
  <sheetData>
    <row r="1" spans="1:26">
      <c r="A1" s="1337" t="s">
        <v>124</v>
      </c>
      <c r="B1" s="1337"/>
      <c r="C1" s="1337"/>
      <c r="D1" s="1337"/>
      <c r="E1" s="1337"/>
      <c r="F1" s="1337"/>
      <c r="G1" s="1337"/>
      <c r="H1" s="1337"/>
      <c r="I1" s="1337"/>
      <c r="J1" s="1337"/>
      <c r="K1" s="1337"/>
      <c r="L1" s="1337"/>
      <c r="M1" s="1337"/>
      <c r="N1" s="1337"/>
      <c r="O1" s="1337"/>
      <c r="P1" s="1337"/>
      <c r="Q1" s="1337"/>
      <c r="R1" s="1337"/>
      <c r="S1" s="1337"/>
      <c r="T1" s="1337"/>
      <c r="U1" s="1337"/>
      <c r="V1" s="1337"/>
      <c r="W1" s="1337"/>
      <c r="X1" s="1337"/>
      <c r="Y1" s="1337"/>
      <c r="Z1" s="1337"/>
    </row>
    <row r="2" spans="1:26">
      <c r="A2" s="1337"/>
      <c r="B2" s="1337"/>
      <c r="C2" s="1337"/>
      <c r="D2" s="1337"/>
      <c r="E2" s="1337"/>
      <c r="F2" s="1337"/>
      <c r="G2" s="1337"/>
      <c r="H2" s="1337"/>
      <c r="I2" s="1337"/>
      <c r="J2" s="1337"/>
      <c r="K2" s="1337"/>
      <c r="L2" s="1337"/>
      <c r="M2" s="1337"/>
      <c r="N2" s="1337"/>
      <c r="O2" s="1337"/>
      <c r="P2" s="1337"/>
      <c r="Q2" s="1337"/>
      <c r="R2" s="1337"/>
      <c r="S2" s="1337"/>
      <c r="T2" s="1337"/>
      <c r="U2" s="1337"/>
      <c r="V2" s="1337"/>
      <c r="W2" s="1337"/>
      <c r="X2" s="1337"/>
      <c r="Y2" s="1337"/>
      <c r="Z2" s="1337"/>
    </row>
    <row r="3" spans="1:26" ht="12.75" customHeight="1">
      <c r="A3" s="1277" t="s">
        <v>127</v>
      </c>
      <c r="B3" s="1277"/>
      <c r="C3" s="1277"/>
      <c r="D3" s="1277"/>
      <c r="E3" s="1277"/>
      <c r="F3" s="1277"/>
      <c r="G3" s="1277"/>
      <c r="H3" s="1277"/>
      <c r="I3" s="1277"/>
      <c r="J3" s="1277"/>
      <c r="K3" s="1277"/>
      <c r="L3" s="1277"/>
      <c r="M3" s="1277"/>
      <c r="N3" s="1277"/>
      <c r="O3" s="1277"/>
      <c r="P3" s="1277"/>
      <c r="Q3" s="1277"/>
      <c r="R3" s="1277"/>
      <c r="S3" s="1277"/>
      <c r="T3" s="1277"/>
      <c r="U3" s="1277"/>
      <c r="V3" s="1277"/>
      <c r="W3" s="1277"/>
      <c r="X3" s="1277"/>
      <c r="Y3" s="1277"/>
      <c r="Z3" s="1277"/>
    </row>
    <row r="4" spans="1:26" ht="12.75" customHeight="1">
      <c r="A4" s="1277"/>
      <c r="B4" s="1277"/>
      <c r="C4" s="1277"/>
      <c r="D4" s="1277"/>
      <c r="E4" s="1277"/>
      <c r="F4" s="1277"/>
      <c r="G4" s="1277"/>
      <c r="H4" s="1277"/>
      <c r="I4" s="1277"/>
      <c r="J4" s="1277"/>
      <c r="K4" s="1277"/>
      <c r="L4" s="1277"/>
      <c r="M4" s="1277"/>
      <c r="N4" s="1277"/>
      <c r="O4" s="1277"/>
      <c r="P4" s="1277"/>
      <c r="Q4" s="1277"/>
      <c r="R4" s="1277"/>
      <c r="S4" s="1277"/>
      <c r="T4" s="1277"/>
      <c r="U4" s="1277"/>
      <c r="V4" s="1277"/>
      <c r="W4" s="1277"/>
      <c r="X4" s="1277"/>
      <c r="Y4" s="1277"/>
      <c r="Z4" s="1277"/>
    </row>
    <row r="5" spans="1:26" ht="25.5">
      <c r="A5" s="1338" t="s">
        <v>489</v>
      </c>
      <c r="B5" s="1338"/>
      <c r="C5" s="1338"/>
      <c r="D5" s="1338"/>
      <c r="E5" s="1338"/>
      <c r="F5" s="1338"/>
      <c r="G5" s="1338"/>
      <c r="H5" s="1338"/>
      <c r="I5" s="1338"/>
      <c r="J5" s="1338"/>
      <c r="K5" s="1338"/>
      <c r="L5" s="1338"/>
      <c r="M5" s="1338"/>
      <c r="N5" s="1338"/>
      <c r="O5" s="1338"/>
      <c r="P5" s="1338"/>
      <c r="Q5" s="1338"/>
      <c r="R5" s="1338"/>
      <c r="S5" s="1338"/>
      <c r="T5" s="1338"/>
      <c r="U5" s="1338"/>
      <c r="V5" s="1338"/>
      <c r="W5" s="1338"/>
      <c r="X5" s="1338"/>
      <c r="Y5" s="1338"/>
      <c r="Z5" s="1338"/>
    </row>
    <row r="6" spans="1:26" ht="13.5" thickBot="1"/>
    <row r="7" spans="1:26" ht="13.5" customHeight="1" thickBot="1">
      <c r="A7" s="1240" t="s">
        <v>26</v>
      </c>
      <c r="B7" s="105" t="s">
        <v>7</v>
      </c>
      <c r="C7" s="1279" t="s">
        <v>25</v>
      </c>
      <c r="D7" s="1289"/>
      <c r="E7" s="1347" t="s">
        <v>608</v>
      </c>
      <c r="F7" s="1348"/>
      <c r="G7" s="1279" t="s">
        <v>24</v>
      </c>
      <c r="H7" s="1289"/>
      <c r="I7" s="1279" t="s">
        <v>123</v>
      </c>
      <c r="J7" s="1289"/>
      <c r="K7" s="1279" t="s">
        <v>23</v>
      </c>
      <c r="L7" s="1289"/>
      <c r="M7" s="1279" t="s">
        <v>120</v>
      </c>
      <c r="N7" s="1289"/>
      <c r="O7" s="1279" t="s">
        <v>129</v>
      </c>
      <c r="P7" s="1289"/>
      <c r="Q7" s="1279" t="s">
        <v>544</v>
      </c>
      <c r="R7" s="1289"/>
      <c r="S7" s="1279" t="s">
        <v>121</v>
      </c>
      <c r="T7" s="1289"/>
      <c r="U7" s="1279" t="s">
        <v>74</v>
      </c>
      <c r="V7" s="1289"/>
      <c r="W7" s="1279" t="s">
        <v>20</v>
      </c>
      <c r="X7" s="1289"/>
      <c r="Y7" s="1279" t="s">
        <v>21</v>
      </c>
      <c r="Z7" s="1289"/>
    </row>
    <row r="8" spans="1:26" ht="12.75" customHeight="1">
      <c r="A8" s="1241"/>
      <c r="B8" s="106" t="s">
        <v>19</v>
      </c>
      <c r="C8" s="85" t="s">
        <v>18</v>
      </c>
      <c r="D8" s="85" t="s">
        <v>17</v>
      </c>
      <c r="E8" s="85" t="s">
        <v>18</v>
      </c>
      <c r="F8" s="85" t="s">
        <v>17</v>
      </c>
      <c r="G8" s="85" t="s">
        <v>18</v>
      </c>
      <c r="H8" s="85" t="s">
        <v>17</v>
      </c>
      <c r="I8" s="85" t="s">
        <v>18</v>
      </c>
      <c r="J8" s="85" t="s">
        <v>17</v>
      </c>
      <c r="K8" s="85" t="s">
        <v>18</v>
      </c>
      <c r="L8" s="85" t="s">
        <v>17</v>
      </c>
      <c r="M8" s="85" t="s">
        <v>18</v>
      </c>
      <c r="N8" s="85" t="s">
        <v>17</v>
      </c>
      <c r="O8" s="85" t="s">
        <v>18</v>
      </c>
      <c r="P8" s="85" t="s">
        <v>17</v>
      </c>
      <c r="Q8" s="85" t="s">
        <v>18</v>
      </c>
      <c r="R8" s="85" t="s">
        <v>17</v>
      </c>
      <c r="S8" s="85" t="s">
        <v>18</v>
      </c>
      <c r="T8" s="85" t="s">
        <v>17</v>
      </c>
      <c r="U8" s="85" t="s">
        <v>18</v>
      </c>
      <c r="V8" s="85" t="s">
        <v>17</v>
      </c>
      <c r="W8" s="85" t="s">
        <v>18</v>
      </c>
      <c r="X8" s="85" t="s">
        <v>17</v>
      </c>
      <c r="Y8" s="85" t="s">
        <v>18</v>
      </c>
      <c r="Z8" s="85" t="s">
        <v>17</v>
      </c>
    </row>
    <row r="9" spans="1:26" ht="13.5" customHeight="1" thickBot="1">
      <c r="A9" s="1242"/>
      <c r="B9" s="107" t="s">
        <v>16</v>
      </c>
      <c r="C9" s="90" t="s">
        <v>323</v>
      </c>
      <c r="D9" s="90" t="s">
        <v>324</v>
      </c>
      <c r="E9" s="90" t="s">
        <v>323</v>
      </c>
      <c r="F9" s="90" t="s">
        <v>324</v>
      </c>
      <c r="G9" s="90" t="s">
        <v>323</v>
      </c>
      <c r="H9" s="90" t="s">
        <v>324</v>
      </c>
      <c r="I9" s="90" t="s">
        <v>323</v>
      </c>
      <c r="J9" s="90" t="s">
        <v>324</v>
      </c>
      <c r="K9" s="90" t="s">
        <v>323</v>
      </c>
      <c r="L9" s="90" t="s">
        <v>324</v>
      </c>
      <c r="M9" s="90" t="s">
        <v>323</v>
      </c>
      <c r="N9" s="90" t="s">
        <v>324</v>
      </c>
      <c r="O9" s="90" t="s">
        <v>323</v>
      </c>
      <c r="P9" s="90" t="s">
        <v>324</v>
      </c>
      <c r="Q9" s="90" t="s">
        <v>323</v>
      </c>
      <c r="R9" s="90" t="s">
        <v>324</v>
      </c>
      <c r="S9" s="90" t="s">
        <v>323</v>
      </c>
      <c r="T9" s="90" t="s">
        <v>324</v>
      </c>
      <c r="U9" s="90" t="s">
        <v>323</v>
      </c>
      <c r="V9" s="90" t="s">
        <v>324</v>
      </c>
      <c r="W9" s="90" t="s">
        <v>323</v>
      </c>
      <c r="X9" s="90" t="s">
        <v>324</v>
      </c>
      <c r="Y9" s="90" t="s">
        <v>323</v>
      </c>
      <c r="Z9" s="90" t="s">
        <v>324</v>
      </c>
    </row>
    <row r="10" spans="1:26" ht="15.75" thickBot="1">
      <c r="A10" s="88">
        <v>1</v>
      </c>
      <c r="B10" s="1016">
        <v>26</v>
      </c>
      <c r="C10" s="93">
        <v>10</v>
      </c>
      <c r="D10" s="94">
        <f>(C10/(B10-8))</f>
        <v>0.55555555555555558</v>
      </c>
      <c r="E10" s="93">
        <v>5</v>
      </c>
      <c r="F10" s="94">
        <f>E10/8</f>
        <v>0.625</v>
      </c>
      <c r="G10" s="93">
        <v>23</v>
      </c>
      <c r="H10" s="94">
        <f>G10/B10</f>
        <v>0.88461538461538458</v>
      </c>
      <c r="I10" s="93">
        <v>22</v>
      </c>
      <c r="J10" s="94">
        <f t="shared" ref="J10:J15" si="0">(I10/B10)</f>
        <v>0.84615384615384615</v>
      </c>
      <c r="K10" s="93">
        <v>20</v>
      </c>
      <c r="L10" s="94">
        <f t="shared" ref="L10:L15" si="1">(K10/B10)</f>
        <v>0.76923076923076927</v>
      </c>
      <c r="M10" s="93">
        <v>22</v>
      </c>
      <c r="N10" s="94">
        <f t="shared" ref="N10:N15" si="2">(M10/B10)</f>
        <v>0.84615384615384615</v>
      </c>
      <c r="O10" s="93">
        <v>20</v>
      </c>
      <c r="P10" s="94">
        <f t="shared" ref="P10:P15" si="3">(O10/B10)</f>
        <v>0.76923076923076927</v>
      </c>
      <c r="Q10" s="93">
        <v>21</v>
      </c>
      <c r="R10" s="94">
        <f t="shared" ref="R10:R15" si="4">(Q10/B10)</f>
        <v>0.80769230769230771</v>
      </c>
      <c r="S10" s="93">
        <v>22</v>
      </c>
      <c r="T10" s="94">
        <f t="shared" ref="T10:T15" si="5">(S10/B10)</f>
        <v>0.84615384615384615</v>
      </c>
      <c r="U10" s="93">
        <v>25</v>
      </c>
      <c r="V10" s="94">
        <f t="shared" ref="V10:V15" si="6">U10/B10</f>
        <v>0.96153846153846156</v>
      </c>
      <c r="W10" s="93">
        <v>7</v>
      </c>
      <c r="X10" s="94">
        <f>W10/7</f>
        <v>1</v>
      </c>
      <c r="Y10" s="93">
        <v>25</v>
      </c>
      <c r="Z10" s="94">
        <f>Y10/B10</f>
        <v>0.96153846153846156</v>
      </c>
    </row>
    <row r="11" spans="1:26" ht="15.75" thickBot="1">
      <c r="A11" s="88">
        <v>2</v>
      </c>
      <c r="B11" s="1017">
        <v>23</v>
      </c>
      <c r="C11" s="93">
        <v>21</v>
      </c>
      <c r="D11" s="94">
        <f t="shared" ref="D11:D15" si="7">(C11/B11)</f>
        <v>0.91304347826086951</v>
      </c>
      <c r="E11" s="809"/>
      <c r="F11" s="809"/>
      <c r="G11" s="93">
        <v>23</v>
      </c>
      <c r="H11" s="94">
        <f>(G11/B11)</f>
        <v>1</v>
      </c>
      <c r="I11" s="93">
        <v>22</v>
      </c>
      <c r="J11" s="94">
        <f t="shared" si="0"/>
        <v>0.95652173913043481</v>
      </c>
      <c r="K11" s="93">
        <v>18</v>
      </c>
      <c r="L11" s="94">
        <f t="shared" si="1"/>
        <v>0.78260869565217395</v>
      </c>
      <c r="M11" s="93">
        <v>21</v>
      </c>
      <c r="N11" s="94">
        <f t="shared" si="2"/>
        <v>0.91304347826086951</v>
      </c>
      <c r="O11" s="93">
        <v>21</v>
      </c>
      <c r="P11" s="94">
        <f t="shared" si="3"/>
        <v>0.91304347826086951</v>
      </c>
      <c r="Q11" s="93">
        <v>23</v>
      </c>
      <c r="R11" s="94">
        <f t="shared" si="4"/>
        <v>1</v>
      </c>
      <c r="S11" s="93">
        <v>23</v>
      </c>
      <c r="T11" s="94">
        <f t="shared" si="5"/>
        <v>1</v>
      </c>
      <c r="U11" s="93">
        <v>23</v>
      </c>
      <c r="V11" s="94">
        <f t="shared" si="6"/>
        <v>1</v>
      </c>
      <c r="W11" s="93">
        <v>4</v>
      </c>
      <c r="X11" s="94">
        <f>W11/4</f>
        <v>1</v>
      </c>
      <c r="Y11" s="93">
        <v>21</v>
      </c>
      <c r="Z11" s="94">
        <f t="shared" ref="Z11:Z15" si="8">Y11/B11</f>
        <v>0.91304347826086951</v>
      </c>
    </row>
    <row r="12" spans="1:26" ht="15.75" thickBot="1">
      <c r="A12" s="88">
        <v>3</v>
      </c>
      <c r="B12" s="1017">
        <v>21</v>
      </c>
      <c r="C12" s="93">
        <v>15</v>
      </c>
      <c r="D12" s="94">
        <f t="shared" si="7"/>
        <v>0.7142857142857143</v>
      </c>
      <c r="E12" s="809"/>
      <c r="F12" s="809"/>
      <c r="G12" s="93">
        <v>19</v>
      </c>
      <c r="H12" s="94">
        <f>(G12/B12)</f>
        <v>0.90476190476190477</v>
      </c>
      <c r="I12" s="93">
        <v>17</v>
      </c>
      <c r="J12" s="94">
        <f t="shared" si="0"/>
        <v>0.80952380952380953</v>
      </c>
      <c r="K12" s="93">
        <v>12</v>
      </c>
      <c r="L12" s="94">
        <f t="shared" si="1"/>
        <v>0.5714285714285714</v>
      </c>
      <c r="M12" s="93">
        <v>18</v>
      </c>
      <c r="N12" s="94">
        <f t="shared" si="2"/>
        <v>0.8571428571428571</v>
      </c>
      <c r="O12" s="93">
        <v>21</v>
      </c>
      <c r="P12" s="94">
        <f t="shared" si="3"/>
        <v>1</v>
      </c>
      <c r="Q12" s="93">
        <v>19</v>
      </c>
      <c r="R12" s="94">
        <f t="shared" si="4"/>
        <v>0.90476190476190477</v>
      </c>
      <c r="S12" s="93">
        <v>21</v>
      </c>
      <c r="T12" s="94">
        <f t="shared" si="5"/>
        <v>1</v>
      </c>
      <c r="U12" s="93">
        <v>19</v>
      </c>
      <c r="V12" s="94">
        <f t="shared" si="6"/>
        <v>0.90476190476190477</v>
      </c>
      <c r="W12" s="808"/>
      <c r="X12" s="809"/>
      <c r="Y12" s="93">
        <v>21</v>
      </c>
      <c r="Z12" s="94">
        <f t="shared" si="8"/>
        <v>1</v>
      </c>
    </row>
    <row r="13" spans="1:26" ht="15.75" thickBot="1">
      <c r="A13" s="88">
        <v>4</v>
      </c>
      <c r="B13" s="1016">
        <v>24</v>
      </c>
      <c r="C13" s="93">
        <v>21</v>
      </c>
      <c r="D13" s="94">
        <f t="shared" si="7"/>
        <v>0.875</v>
      </c>
      <c r="E13" s="809"/>
      <c r="F13" s="809"/>
      <c r="G13" s="93">
        <v>23</v>
      </c>
      <c r="H13" s="94">
        <f>(G13/B13)</f>
        <v>0.95833333333333337</v>
      </c>
      <c r="I13" s="93">
        <v>22</v>
      </c>
      <c r="J13" s="94">
        <f t="shared" si="0"/>
        <v>0.91666666666666663</v>
      </c>
      <c r="K13" s="93">
        <v>22</v>
      </c>
      <c r="L13" s="94">
        <f t="shared" si="1"/>
        <v>0.91666666666666663</v>
      </c>
      <c r="M13" s="93">
        <v>23</v>
      </c>
      <c r="N13" s="94">
        <f t="shared" si="2"/>
        <v>0.95833333333333337</v>
      </c>
      <c r="O13" s="93">
        <v>24</v>
      </c>
      <c r="P13" s="94">
        <f t="shared" si="3"/>
        <v>1</v>
      </c>
      <c r="Q13" s="93">
        <v>24</v>
      </c>
      <c r="R13" s="94">
        <f t="shared" si="4"/>
        <v>1</v>
      </c>
      <c r="S13" s="93">
        <v>24</v>
      </c>
      <c r="T13" s="94">
        <f t="shared" si="5"/>
        <v>1</v>
      </c>
      <c r="U13" s="93">
        <v>24</v>
      </c>
      <c r="V13" s="94">
        <f t="shared" si="6"/>
        <v>1</v>
      </c>
      <c r="W13" s="93">
        <v>5</v>
      </c>
      <c r="X13" s="94">
        <f>W13/5</f>
        <v>1</v>
      </c>
      <c r="Y13" s="93">
        <v>24</v>
      </c>
      <c r="Z13" s="94">
        <f t="shared" si="8"/>
        <v>1</v>
      </c>
    </row>
    <row r="14" spans="1:26" ht="15.75" thickBot="1">
      <c r="A14" s="88">
        <v>5</v>
      </c>
      <c r="B14" s="1017">
        <v>18</v>
      </c>
      <c r="C14" s="806">
        <v>14</v>
      </c>
      <c r="D14" s="807">
        <f t="shared" si="7"/>
        <v>0.77777777777777779</v>
      </c>
      <c r="E14" s="809"/>
      <c r="F14" s="809"/>
      <c r="G14" s="806">
        <v>15</v>
      </c>
      <c r="H14" s="807">
        <f>(G14/B14)</f>
        <v>0.83333333333333337</v>
      </c>
      <c r="I14" s="806">
        <v>15</v>
      </c>
      <c r="J14" s="807">
        <f t="shared" si="0"/>
        <v>0.83333333333333337</v>
      </c>
      <c r="K14" s="806">
        <v>15</v>
      </c>
      <c r="L14" s="807">
        <f t="shared" si="1"/>
        <v>0.83333333333333337</v>
      </c>
      <c r="M14" s="806">
        <v>15</v>
      </c>
      <c r="N14" s="807">
        <f t="shared" si="2"/>
        <v>0.83333333333333337</v>
      </c>
      <c r="O14" s="806">
        <v>17</v>
      </c>
      <c r="P14" s="807">
        <f t="shared" si="3"/>
        <v>0.94444444444444442</v>
      </c>
      <c r="Q14" s="806">
        <v>17</v>
      </c>
      <c r="R14" s="807">
        <f t="shared" si="4"/>
        <v>0.94444444444444442</v>
      </c>
      <c r="S14" s="806">
        <v>16</v>
      </c>
      <c r="T14" s="807">
        <f t="shared" si="5"/>
        <v>0.88888888888888884</v>
      </c>
      <c r="U14" s="806">
        <v>16</v>
      </c>
      <c r="V14" s="807">
        <f t="shared" si="6"/>
        <v>0.88888888888888884</v>
      </c>
      <c r="W14" s="806">
        <v>10</v>
      </c>
      <c r="X14" s="807">
        <f>W14/10</f>
        <v>1</v>
      </c>
      <c r="Y14" s="806">
        <v>17</v>
      </c>
      <c r="Z14" s="807">
        <f t="shared" si="8"/>
        <v>0.94444444444444442</v>
      </c>
    </row>
    <row r="15" spans="1:26" ht="15.75" thickBot="1">
      <c r="A15" s="88">
        <v>6</v>
      </c>
      <c r="B15" s="1017">
        <v>18</v>
      </c>
      <c r="C15" s="93">
        <v>14</v>
      </c>
      <c r="D15" s="94">
        <f t="shared" si="7"/>
        <v>0.77777777777777779</v>
      </c>
      <c r="E15" s="809"/>
      <c r="F15" s="809"/>
      <c r="G15" s="93">
        <v>17</v>
      </c>
      <c r="H15" s="94">
        <f>(G15/B15)</f>
        <v>0.94444444444444442</v>
      </c>
      <c r="I15" s="93">
        <v>15</v>
      </c>
      <c r="J15" s="94">
        <f t="shared" si="0"/>
        <v>0.83333333333333337</v>
      </c>
      <c r="K15" s="93">
        <v>10</v>
      </c>
      <c r="L15" s="94">
        <f t="shared" si="1"/>
        <v>0.55555555555555558</v>
      </c>
      <c r="M15" s="93">
        <v>15</v>
      </c>
      <c r="N15" s="94">
        <f t="shared" si="2"/>
        <v>0.83333333333333337</v>
      </c>
      <c r="O15" s="93">
        <v>16</v>
      </c>
      <c r="P15" s="94">
        <f t="shared" si="3"/>
        <v>0.88888888888888884</v>
      </c>
      <c r="Q15" s="93">
        <v>12</v>
      </c>
      <c r="R15" s="94">
        <f t="shared" si="4"/>
        <v>0.66666666666666663</v>
      </c>
      <c r="S15" s="93">
        <v>16</v>
      </c>
      <c r="T15" s="94">
        <f t="shared" si="5"/>
        <v>0.88888888888888884</v>
      </c>
      <c r="U15" s="93">
        <v>15</v>
      </c>
      <c r="V15" s="94">
        <f t="shared" si="6"/>
        <v>0.83333333333333337</v>
      </c>
      <c r="W15" s="93">
        <v>0</v>
      </c>
      <c r="X15" s="94">
        <f>W15/1</f>
        <v>0</v>
      </c>
      <c r="Y15" s="93">
        <v>16</v>
      </c>
      <c r="Z15" s="94">
        <f t="shared" si="8"/>
        <v>0.88888888888888884</v>
      </c>
    </row>
    <row r="16" spans="1:26" s="2" customFormat="1" ht="15.75" thickBot="1">
      <c r="A16" s="812" t="s">
        <v>0</v>
      </c>
      <c r="B16" s="813">
        <f>SUM(B10:B15)</f>
        <v>130</v>
      </c>
      <c r="C16" s="813">
        <f>SUM(C10:C15)</f>
        <v>95</v>
      </c>
      <c r="D16" s="194">
        <f>C16/(B16-8)</f>
        <v>0.77868852459016391</v>
      </c>
      <c r="E16" s="813">
        <f>SUM(E10:E15)</f>
        <v>5</v>
      </c>
      <c r="F16" s="194">
        <f>E16/8</f>
        <v>0.625</v>
      </c>
      <c r="G16" s="813">
        <f>SUM(G10:G15)</f>
        <v>120</v>
      </c>
      <c r="H16" s="194">
        <f>G16/B16</f>
        <v>0.92307692307692313</v>
      </c>
      <c r="I16" s="813">
        <f>SUM(I10:I15)</f>
        <v>113</v>
      </c>
      <c r="J16" s="194">
        <f>I16/B16</f>
        <v>0.86923076923076925</v>
      </c>
      <c r="K16" s="813">
        <f>SUM(K10:K15)</f>
        <v>97</v>
      </c>
      <c r="L16" s="194">
        <f>K16/B16</f>
        <v>0.74615384615384617</v>
      </c>
      <c r="M16" s="813">
        <f>SUM(M10:M15)</f>
        <v>114</v>
      </c>
      <c r="N16" s="194">
        <f>M16/B16</f>
        <v>0.87692307692307692</v>
      </c>
      <c r="O16" s="813">
        <f>SUM(O10:O15)</f>
        <v>119</v>
      </c>
      <c r="P16" s="194">
        <f>O16/B16</f>
        <v>0.91538461538461535</v>
      </c>
      <c r="Q16" s="813">
        <f>SUM(Q10:Q15)</f>
        <v>116</v>
      </c>
      <c r="R16" s="194">
        <f>(Q16/B16)</f>
        <v>0.89230769230769236</v>
      </c>
      <c r="S16" s="813">
        <f>SUM(S10:S15)</f>
        <v>122</v>
      </c>
      <c r="T16" s="194">
        <f>(S16/B16)</f>
        <v>0.93846153846153846</v>
      </c>
      <c r="U16" s="813">
        <f>SUM(U10:U15)</f>
        <v>122</v>
      </c>
      <c r="V16" s="194">
        <f>U16/B16</f>
        <v>0.93846153846153846</v>
      </c>
      <c r="W16" s="813">
        <f>SUM(W10:W15)</f>
        <v>26</v>
      </c>
      <c r="X16" s="194">
        <f>W16/(7+4+5+9+1)</f>
        <v>1</v>
      </c>
      <c r="Y16" s="813">
        <f>SUM(Y10:Y15)</f>
        <v>124</v>
      </c>
      <c r="Z16" s="194">
        <f>Y16/B16</f>
        <v>0.9538461538461539</v>
      </c>
    </row>
    <row r="17" spans="1:33" s="2" customFormat="1" ht="15">
      <c r="A17" s="814"/>
      <c r="B17" s="815"/>
      <c r="C17" s="815"/>
      <c r="D17" s="816"/>
      <c r="E17" s="816"/>
      <c r="F17" s="816"/>
      <c r="G17" s="815"/>
      <c r="H17" s="816"/>
      <c r="I17" s="815"/>
      <c r="J17" s="816"/>
      <c r="K17" s="815"/>
      <c r="L17" s="816"/>
      <c r="M17" s="815"/>
      <c r="N17" s="816"/>
      <c r="O17" s="815"/>
      <c r="P17" s="816"/>
      <c r="Q17" s="815"/>
      <c r="R17" s="816"/>
      <c r="S17" s="815"/>
      <c r="T17" s="816"/>
      <c r="U17" s="815"/>
      <c r="V17" s="816"/>
      <c r="W17" s="815"/>
      <c r="X17" s="816"/>
      <c r="Y17" s="815"/>
      <c r="Z17" s="816"/>
    </row>
    <row r="18" spans="1:33" ht="16.5" thickBot="1">
      <c r="A18" s="529"/>
      <c r="B18" s="81"/>
      <c r="C18" s="81"/>
      <c r="D18" s="81"/>
      <c r="E18" s="81"/>
      <c r="F18" s="81"/>
      <c r="G18" s="4"/>
      <c r="H18" s="4"/>
      <c r="I18" s="4"/>
      <c r="J18" s="4"/>
      <c r="K18" s="4"/>
      <c r="L18" s="4"/>
      <c r="M18" s="4"/>
      <c r="N18" s="4"/>
      <c r="X18" s="4"/>
    </row>
    <row r="19" spans="1:33" ht="16.5" thickBot="1">
      <c r="A19" s="529"/>
      <c r="B19" s="81"/>
      <c r="C19" s="81"/>
      <c r="D19" s="81"/>
      <c r="E19" s="81"/>
      <c r="F19" s="81"/>
      <c r="G19" s="4"/>
      <c r="H19" s="4"/>
      <c r="I19" s="4"/>
      <c r="M19" s="4"/>
      <c r="N19" s="4"/>
      <c r="O19" s="4"/>
      <c r="P19" s="4"/>
      <c r="Q19" s="4"/>
      <c r="S19" s="1349" t="s">
        <v>631</v>
      </c>
      <c r="T19" s="1350"/>
      <c r="U19" s="1350"/>
      <c r="V19" s="1350"/>
      <c r="W19" s="1350"/>
      <c r="X19" s="1350"/>
      <c r="Y19" s="1307" t="s">
        <v>632</v>
      </c>
      <c r="Z19" s="1308"/>
      <c r="AA19" s="1308"/>
      <c r="AB19" s="1308"/>
      <c r="AC19" s="1308"/>
      <c r="AD19" s="1308"/>
      <c r="AE19" s="1308"/>
      <c r="AF19" s="1308"/>
      <c r="AG19" s="1309"/>
    </row>
    <row r="20" spans="1:33" ht="27" customHeight="1" thickBot="1">
      <c r="D20" s="1354"/>
      <c r="E20" s="1354"/>
      <c r="F20" s="1354"/>
      <c r="G20" s="1355" t="s">
        <v>545</v>
      </c>
      <c r="H20" s="1356"/>
      <c r="I20" s="1357"/>
      <c r="J20" s="1362" t="s">
        <v>636</v>
      </c>
      <c r="K20" s="1363"/>
      <c r="L20" s="1364"/>
      <c r="M20" s="1355" t="s">
        <v>549</v>
      </c>
      <c r="N20" s="1356"/>
      <c r="O20" s="1357"/>
      <c r="P20" s="1355" t="s">
        <v>547</v>
      </c>
      <c r="Q20" s="1356"/>
      <c r="R20" s="1356"/>
      <c r="S20" s="1304" t="s">
        <v>548</v>
      </c>
      <c r="T20" s="1304"/>
      <c r="U20" s="1304"/>
      <c r="V20" s="1358" t="s">
        <v>630</v>
      </c>
      <c r="W20" s="1358"/>
      <c r="X20" s="1358"/>
      <c r="Y20" s="1310" t="s">
        <v>548</v>
      </c>
      <c r="Z20" s="1310"/>
      <c r="AA20" s="1310"/>
      <c r="AB20" s="1311" t="s">
        <v>283</v>
      </c>
      <c r="AC20" s="1311"/>
      <c r="AD20" s="1311"/>
      <c r="AE20" s="1311" t="s">
        <v>595</v>
      </c>
      <c r="AF20" s="1311"/>
      <c r="AG20" s="1311"/>
    </row>
    <row r="21" spans="1:33" ht="15.75" customHeight="1" thickBot="1">
      <c r="C21" s="258"/>
      <c r="D21" s="1359"/>
      <c r="E21" s="1359"/>
      <c r="F21" s="1344"/>
      <c r="G21" s="1266" t="s">
        <v>546</v>
      </c>
      <c r="H21" s="1267"/>
      <c r="I21" s="1240" t="s">
        <v>147</v>
      </c>
      <c r="J21" s="1266" t="s">
        <v>546</v>
      </c>
      <c r="K21" s="1267"/>
      <c r="L21" s="1240" t="s">
        <v>147</v>
      </c>
      <c r="M21" s="1266" t="s">
        <v>546</v>
      </c>
      <c r="N21" s="1267"/>
      <c r="O21" s="1241" t="s">
        <v>147</v>
      </c>
      <c r="P21" s="1266" t="s">
        <v>546</v>
      </c>
      <c r="Q21" s="1267"/>
      <c r="R21" s="1360" t="s">
        <v>147</v>
      </c>
      <c r="S21" s="1297" t="s">
        <v>546</v>
      </c>
      <c r="T21" s="1297"/>
      <c r="U21" s="1298" t="s">
        <v>147</v>
      </c>
      <c r="V21" s="1297" t="s">
        <v>546</v>
      </c>
      <c r="W21" s="1297"/>
      <c r="X21" s="1298" t="s">
        <v>147</v>
      </c>
      <c r="Y21" s="1312" t="s">
        <v>546</v>
      </c>
      <c r="Z21" s="1312"/>
      <c r="AA21" s="1313" t="s">
        <v>147</v>
      </c>
      <c r="AB21" s="1312" t="s">
        <v>546</v>
      </c>
      <c r="AC21" s="1312"/>
      <c r="AD21" s="1313" t="s">
        <v>147</v>
      </c>
      <c r="AE21" s="1312" t="s">
        <v>546</v>
      </c>
      <c r="AF21" s="1312"/>
      <c r="AG21" s="1314" t="s">
        <v>147</v>
      </c>
    </row>
    <row r="22" spans="1:33" ht="13.5" customHeight="1" thickBot="1">
      <c r="C22" s="259"/>
      <c r="D22" s="1359"/>
      <c r="E22" s="1359"/>
      <c r="F22" s="1344"/>
      <c r="G22" s="1268"/>
      <c r="H22" s="1269"/>
      <c r="I22" s="1242"/>
      <c r="J22" s="1268"/>
      <c r="K22" s="1269"/>
      <c r="L22" s="1242"/>
      <c r="M22" s="1268"/>
      <c r="N22" s="1269"/>
      <c r="O22" s="1242"/>
      <c r="P22" s="1268"/>
      <c r="Q22" s="1269"/>
      <c r="R22" s="1361"/>
      <c r="S22" s="1297"/>
      <c r="T22" s="1297"/>
      <c r="U22" s="1298"/>
      <c r="V22" s="1297"/>
      <c r="W22" s="1297"/>
      <c r="X22" s="1298"/>
      <c r="Y22" s="1312"/>
      <c r="Z22" s="1312"/>
      <c r="AA22" s="1313"/>
      <c r="AB22" s="1312"/>
      <c r="AC22" s="1312"/>
      <c r="AD22" s="1313"/>
      <c r="AE22" s="1312"/>
      <c r="AF22" s="1312"/>
      <c r="AG22" s="1315"/>
    </row>
    <row r="23" spans="1:33" ht="15.75" thickBot="1">
      <c r="D23" s="1352"/>
      <c r="E23" s="1352"/>
      <c r="F23" s="478" t="s">
        <v>33</v>
      </c>
      <c r="G23" s="1339">
        <v>5</v>
      </c>
      <c r="H23" s="1251"/>
      <c r="I23" s="414">
        <f t="shared" ref="I23:I29" si="9">G23/B10</f>
        <v>0.19230769230769232</v>
      </c>
      <c r="J23" s="1339">
        <v>2</v>
      </c>
      <c r="K23" s="1251"/>
      <c r="L23" s="414">
        <f>J23/B10</f>
        <v>7.6923076923076927E-2</v>
      </c>
      <c r="M23" s="1256">
        <v>1</v>
      </c>
      <c r="N23" s="1257"/>
      <c r="O23" s="798">
        <f t="shared" ref="O23:O28" si="10">M23/B10</f>
        <v>3.8461538461538464E-2</v>
      </c>
      <c r="P23" s="1256">
        <v>13</v>
      </c>
      <c r="Q23" s="1257"/>
      <c r="R23" s="1195">
        <f t="shared" ref="R23:R29" si="11">P23/B10</f>
        <v>0.5</v>
      </c>
      <c r="S23" s="1301">
        <v>8</v>
      </c>
      <c r="T23" s="1301"/>
      <c r="U23" s="1198">
        <f t="shared" ref="U23:U29" si="12">S23/B10</f>
        <v>0.30769230769230771</v>
      </c>
      <c r="V23" s="1351">
        <v>22</v>
      </c>
      <c r="W23" s="1351"/>
      <c r="X23" s="1199">
        <f t="shared" ref="X23:X29" si="13">V23/B10</f>
        <v>0.84615384615384615</v>
      </c>
      <c r="Y23" s="1323">
        <v>3</v>
      </c>
      <c r="Z23" s="1323"/>
      <c r="AA23" s="1192">
        <f>Y23/B10</f>
        <v>0.11538461538461539</v>
      </c>
      <c r="AB23" s="1306">
        <v>18</v>
      </c>
      <c r="AC23" s="1306"/>
      <c r="AD23" s="1193">
        <f>AB23/B10</f>
        <v>0.69230769230769229</v>
      </c>
      <c r="AE23" s="1306">
        <f>B10-AB23</f>
        <v>8</v>
      </c>
      <c r="AF23" s="1306"/>
      <c r="AG23" s="1193">
        <f>AE23/B10</f>
        <v>0.30769230769230771</v>
      </c>
    </row>
    <row r="24" spans="1:33" ht="15.75" thickBot="1">
      <c r="D24" s="1352"/>
      <c r="E24" s="1352"/>
      <c r="F24" s="478" t="s">
        <v>32</v>
      </c>
      <c r="G24" s="1339">
        <v>0</v>
      </c>
      <c r="H24" s="1251"/>
      <c r="I24" s="414">
        <f t="shared" si="9"/>
        <v>0</v>
      </c>
      <c r="J24" s="1339">
        <v>0</v>
      </c>
      <c r="K24" s="1251"/>
      <c r="L24" s="414">
        <f t="shared" ref="L24:L28" si="14">J24/B11</f>
        <v>0</v>
      </c>
      <c r="M24" s="1252">
        <v>0</v>
      </c>
      <c r="N24" s="1253"/>
      <c r="O24" s="798">
        <f t="shared" si="10"/>
        <v>0</v>
      </c>
      <c r="P24" s="1252">
        <v>7</v>
      </c>
      <c r="Q24" s="1253"/>
      <c r="R24" s="1195">
        <f t="shared" si="11"/>
        <v>0.30434782608695654</v>
      </c>
      <c r="S24" s="1301">
        <v>15</v>
      </c>
      <c r="T24" s="1301"/>
      <c r="U24" s="1198">
        <f t="shared" si="12"/>
        <v>0.65217391304347827</v>
      </c>
      <c r="V24" s="1351">
        <v>23</v>
      </c>
      <c r="W24" s="1351"/>
      <c r="X24" s="1199">
        <f t="shared" si="13"/>
        <v>1</v>
      </c>
      <c r="Y24" s="1323">
        <v>14</v>
      </c>
      <c r="Z24" s="1323"/>
      <c r="AA24" s="1192">
        <f t="shared" ref="AA24:AA29" si="15">Y24/B11</f>
        <v>0.60869565217391308</v>
      </c>
      <c r="AB24" s="1306">
        <v>21</v>
      </c>
      <c r="AC24" s="1306"/>
      <c r="AD24" s="1193">
        <f t="shared" ref="AD24:AD28" si="16">AB24/B11</f>
        <v>0.91304347826086951</v>
      </c>
      <c r="AE24" s="1306">
        <f t="shared" ref="AE24:AE28" si="17">B11-AB24</f>
        <v>2</v>
      </c>
      <c r="AF24" s="1306"/>
      <c r="AG24" s="1193">
        <f t="shared" ref="AG24:AG29" si="18">AE24/B11</f>
        <v>8.6956521739130432E-2</v>
      </c>
    </row>
    <row r="25" spans="1:33" ht="15.75" thickBot="1">
      <c r="D25" s="1352"/>
      <c r="E25" s="1352"/>
      <c r="F25" s="478" t="s">
        <v>31</v>
      </c>
      <c r="G25" s="1339">
        <v>1</v>
      </c>
      <c r="H25" s="1251"/>
      <c r="I25" s="414">
        <f t="shared" si="9"/>
        <v>4.7619047619047616E-2</v>
      </c>
      <c r="J25" s="1339">
        <v>1</v>
      </c>
      <c r="K25" s="1251"/>
      <c r="L25" s="414">
        <f t="shared" si="14"/>
        <v>4.7619047619047616E-2</v>
      </c>
      <c r="M25" s="1252">
        <v>0</v>
      </c>
      <c r="N25" s="1253"/>
      <c r="O25" s="798">
        <f t="shared" si="10"/>
        <v>0</v>
      </c>
      <c r="P25" s="1252">
        <v>6</v>
      </c>
      <c r="Q25" s="1253"/>
      <c r="R25" s="1195">
        <f t="shared" si="11"/>
        <v>0.2857142857142857</v>
      </c>
      <c r="S25" s="1301">
        <v>9</v>
      </c>
      <c r="T25" s="1301"/>
      <c r="U25" s="1198">
        <f t="shared" si="12"/>
        <v>0.42857142857142855</v>
      </c>
      <c r="V25" s="1351">
        <v>19</v>
      </c>
      <c r="W25" s="1351"/>
      <c r="X25" s="1199">
        <f t="shared" si="13"/>
        <v>0.90476190476190477</v>
      </c>
      <c r="Y25" s="1323">
        <v>8</v>
      </c>
      <c r="Z25" s="1323"/>
      <c r="AA25" s="1192">
        <f t="shared" si="15"/>
        <v>0.38095238095238093</v>
      </c>
      <c r="AB25" s="1306">
        <v>16</v>
      </c>
      <c r="AC25" s="1306"/>
      <c r="AD25" s="1193">
        <f t="shared" si="16"/>
        <v>0.76190476190476186</v>
      </c>
      <c r="AE25" s="1306">
        <f t="shared" si="17"/>
        <v>5</v>
      </c>
      <c r="AF25" s="1306"/>
      <c r="AG25" s="1193">
        <f t="shared" si="18"/>
        <v>0.23809523809523808</v>
      </c>
    </row>
    <row r="26" spans="1:33" ht="15.75" thickBot="1">
      <c r="D26" s="1352"/>
      <c r="E26" s="1352"/>
      <c r="F26" s="478" t="s">
        <v>30</v>
      </c>
      <c r="G26" s="1339">
        <v>0</v>
      </c>
      <c r="H26" s="1251"/>
      <c r="I26" s="414">
        <f t="shared" si="9"/>
        <v>0</v>
      </c>
      <c r="J26" s="1339">
        <v>0</v>
      </c>
      <c r="K26" s="1251"/>
      <c r="L26" s="414">
        <f t="shared" si="14"/>
        <v>0</v>
      </c>
      <c r="M26" s="1252">
        <v>0</v>
      </c>
      <c r="N26" s="1253"/>
      <c r="O26" s="798">
        <f t="shared" si="10"/>
        <v>0</v>
      </c>
      <c r="P26" s="1252">
        <v>7</v>
      </c>
      <c r="Q26" s="1253"/>
      <c r="R26" s="1195">
        <f t="shared" si="11"/>
        <v>0.29166666666666669</v>
      </c>
      <c r="S26" s="1301">
        <v>21</v>
      </c>
      <c r="T26" s="1301"/>
      <c r="U26" s="1198">
        <f t="shared" si="12"/>
        <v>0.875</v>
      </c>
      <c r="V26" s="1351">
        <v>24</v>
      </c>
      <c r="W26" s="1351"/>
      <c r="X26" s="1199">
        <f t="shared" si="13"/>
        <v>1</v>
      </c>
      <c r="Y26" s="1323">
        <v>19</v>
      </c>
      <c r="Z26" s="1323"/>
      <c r="AA26" s="1192">
        <f t="shared" si="15"/>
        <v>0.79166666666666663</v>
      </c>
      <c r="AB26" s="1306">
        <v>20</v>
      </c>
      <c r="AC26" s="1306"/>
      <c r="AD26" s="1193">
        <f t="shared" si="16"/>
        <v>0.83333333333333337</v>
      </c>
      <c r="AE26" s="1306">
        <f t="shared" si="17"/>
        <v>4</v>
      </c>
      <c r="AF26" s="1306"/>
      <c r="AG26" s="1193">
        <f t="shared" si="18"/>
        <v>0.16666666666666666</v>
      </c>
    </row>
    <row r="27" spans="1:33" ht="15.75" thickBot="1">
      <c r="D27" s="1352"/>
      <c r="E27" s="1352"/>
      <c r="F27" s="478" t="s">
        <v>29</v>
      </c>
      <c r="G27" s="1339">
        <v>2</v>
      </c>
      <c r="H27" s="1251"/>
      <c r="I27" s="414">
        <f t="shared" si="9"/>
        <v>0.1111111111111111</v>
      </c>
      <c r="J27" s="1339">
        <v>2</v>
      </c>
      <c r="K27" s="1251"/>
      <c r="L27" s="414">
        <f t="shared" si="14"/>
        <v>0.1111111111111111</v>
      </c>
      <c r="M27" s="1295">
        <v>0</v>
      </c>
      <c r="N27" s="1296"/>
      <c r="O27" s="1034">
        <f t="shared" si="10"/>
        <v>0</v>
      </c>
      <c r="P27" s="1295">
        <v>7</v>
      </c>
      <c r="Q27" s="1296"/>
      <c r="R27" s="1196">
        <f t="shared" si="11"/>
        <v>0.3888888888888889</v>
      </c>
      <c r="S27" s="1301">
        <v>13</v>
      </c>
      <c r="T27" s="1301"/>
      <c r="U27" s="1198">
        <f t="shared" si="12"/>
        <v>0.72222222222222221</v>
      </c>
      <c r="V27" s="1351">
        <v>16</v>
      </c>
      <c r="W27" s="1351"/>
      <c r="X27" s="1199">
        <f t="shared" si="13"/>
        <v>0.88888888888888884</v>
      </c>
      <c r="Y27" s="1323">
        <v>12</v>
      </c>
      <c r="Z27" s="1323"/>
      <c r="AA27" s="1192">
        <f t="shared" si="15"/>
        <v>0.66666666666666663</v>
      </c>
      <c r="AB27" s="1306">
        <v>15</v>
      </c>
      <c r="AC27" s="1306"/>
      <c r="AD27" s="1193">
        <f t="shared" si="16"/>
        <v>0.83333333333333337</v>
      </c>
      <c r="AE27" s="1306">
        <f t="shared" si="17"/>
        <v>3</v>
      </c>
      <c r="AF27" s="1306"/>
      <c r="AG27" s="1193">
        <f t="shared" si="18"/>
        <v>0.16666666666666666</v>
      </c>
    </row>
    <row r="28" spans="1:33" ht="15.75" thickBot="1">
      <c r="D28" s="1352"/>
      <c r="E28" s="1352"/>
      <c r="F28" s="478" t="s">
        <v>28</v>
      </c>
      <c r="G28" s="1339">
        <v>1</v>
      </c>
      <c r="H28" s="1251"/>
      <c r="I28" s="414">
        <f t="shared" si="9"/>
        <v>5.5555555555555552E-2</v>
      </c>
      <c r="J28" s="1339">
        <v>1</v>
      </c>
      <c r="K28" s="1251"/>
      <c r="L28" s="414">
        <f t="shared" si="14"/>
        <v>5.5555555555555552E-2</v>
      </c>
      <c r="M28" s="1252">
        <v>0</v>
      </c>
      <c r="N28" s="1253"/>
      <c r="O28" s="798">
        <f t="shared" si="10"/>
        <v>0</v>
      </c>
      <c r="P28" s="1252">
        <v>12</v>
      </c>
      <c r="Q28" s="1253"/>
      <c r="R28" s="1195">
        <f t="shared" si="11"/>
        <v>0.66666666666666663</v>
      </c>
      <c r="S28" s="1301">
        <v>6</v>
      </c>
      <c r="T28" s="1301"/>
      <c r="U28" s="1198">
        <f t="shared" si="12"/>
        <v>0.33333333333333331</v>
      </c>
      <c r="V28" s="1351">
        <v>16</v>
      </c>
      <c r="W28" s="1351"/>
      <c r="X28" s="1199">
        <f t="shared" si="13"/>
        <v>0.88888888888888884</v>
      </c>
      <c r="Y28" s="1323">
        <v>6</v>
      </c>
      <c r="Z28" s="1323"/>
      <c r="AA28" s="1192">
        <f t="shared" si="15"/>
        <v>0.33333333333333331</v>
      </c>
      <c r="AB28" s="1306">
        <v>12</v>
      </c>
      <c r="AC28" s="1306"/>
      <c r="AD28" s="1193">
        <f t="shared" si="16"/>
        <v>0.66666666666666663</v>
      </c>
      <c r="AE28" s="1306">
        <f t="shared" si="17"/>
        <v>6</v>
      </c>
      <c r="AF28" s="1306"/>
      <c r="AG28" s="1193">
        <f t="shared" si="18"/>
        <v>0.33333333333333331</v>
      </c>
    </row>
    <row r="29" spans="1:33" ht="15.75" thickBot="1">
      <c r="D29" s="1353"/>
      <c r="E29" s="1353"/>
      <c r="F29" s="478" t="s">
        <v>0</v>
      </c>
      <c r="G29" s="1343">
        <f>SUM(G23:G28)</f>
        <v>9</v>
      </c>
      <c r="H29" s="1247"/>
      <c r="I29" s="194">
        <f t="shared" si="9"/>
        <v>6.9230769230769235E-2</v>
      </c>
      <c r="J29" s="1343">
        <f>SUM(J23:J28)</f>
        <v>6</v>
      </c>
      <c r="K29" s="1247"/>
      <c r="L29" s="194">
        <f>J29/B16</f>
        <v>4.6153846153846156E-2</v>
      </c>
      <c r="M29" s="1246">
        <f>SUM(M23:N28)</f>
        <v>1</v>
      </c>
      <c r="N29" s="1247"/>
      <c r="O29" s="194">
        <f>M29/B15</f>
        <v>5.5555555555555552E-2</v>
      </c>
      <c r="P29" s="1246">
        <f>SUM(P23:Q28)</f>
        <v>52</v>
      </c>
      <c r="Q29" s="1247"/>
      <c r="R29" s="1197">
        <f t="shared" si="11"/>
        <v>0.4</v>
      </c>
      <c r="S29" s="1305">
        <f>SUM(S23:S28)</f>
        <v>72</v>
      </c>
      <c r="T29" s="1305"/>
      <c r="U29" s="1200">
        <f t="shared" si="12"/>
        <v>0.55384615384615388</v>
      </c>
      <c r="V29" s="1305">
        <f>SUM(V23:W28)</f>
        <v>120</v>
      </c>
      <c r="W29" s="1305"/>
      <c r="X29" s="1200">
        <f t="shared" si="13"/>
        <v>0.92307692307692313</v>
      </c>
      <c r="Y29" s="1322">
        <f>SUM(Y23:Y28)</f>
        <v>62</v>
      </c>
      <c r="Z29" s="1322"/>
      <c r="AA29" s="1218">
        <f t="shared" si="15"/>
        <v>0.47692307692307695</v>
      </c>
      <c r="AB29" s="1322">
        <f>SUM(AB23:AC28)</f>
        <v>102</v>
      </c>
      <c r="AC29" s="1322"/>
      <c r="AD29" s="1194">
        <f>AB29/B16</f>
        <v>0.7846153846153846</v>
      </c>
      <c r="AE29" s="1322">
        <f>SUM(AE23:AF28)</f>
        <v>28</v>
      </c>
      <c r="AF29" s="1322"/>
      <c r="AG29" s="1219">
        <f t="shared" si="18"/>
        <v>0.2153846153846154</v>
      </c>
    </row>
    <row r="36" spans="11:11">
      <c r="K36" s="19"/>
    </row>
  </sheetData>
  <mergeCells count="118">
    <mergeCell ref="V29:W29"/>
    <mergeCell ref="M27:N27"/>
    <mergeCell ref="P27:Q27"/>
    <mergeCell ref="V27:W27"/>
    <mergeCell ref="M28:N28"/>
    <mergeCell ref="P28:Q28"/>
    <mergeCell ref="V28:W28"/>
    <mergeCell ref="J20:L20"/>
    <mergeCell ref="J21:K22"/>
    <mergeCell ref="L21:L22"/>
    <mergeCell ref="J23:K23"/>
    <mergeCell ref="J24:K24"/>
    <mergeCell ref="J25:K25"/>
    <mergeCell ref="J26:K26"/>
    <mergeCell ref="J27:K27"/>
    <mergeCell ref="J28:K28"/>
    <mergeCell ref="J29:K29"/>
    <mergeCell ref="V23:W23"/>
    <mergeCell ref="D23:E23"/>
    <mergeCell ref="G23:H23"/>
    <mergeCell ref="M23:N23"/>
    <mergeCell ref="P23:Q23"/>
    <mergeCell ref="S23:T23"/>
    <mergeCell ref="D24:E24"/>
    <mergeCell ref="G24:H24"/>
    <mergeCell ref="S24:T24"/>
    <mergeCell ref="M24:N24"/>
    <mergeCell ref="P24:Q24"/>
    <mergeCell ref="D20:F20"/>
    <mergeCell ref="G20:I20"/>
    <mergeCell ref="M20:O20"/>
    <mergeCell ref="P20:R20"/>
    <mergeCell ref="S20:U20"/>
    <mergeCell ref="V20:X20"/>
    <mergeCell ref="Y20:AA20"/>
    <mergeCell ref="U21:U22"/>
    <mergeCell ref="V21:W22"/>
    <mergeCell ref="X21:X22"/>
    <mergeCell ref="AA21:AA22"/>
    <mergeCell ref="D21:E22"/>
    <mergeCell ref="F21:F22"/>
    <mergeCell ref="G21:H22"/>
    <mergeCell ref="I21:I22"/>
    <mergeCell ref="M21:N22"/>
    <mergeCell ref="O21:O22"/>
    <mergeCell ref="P21:Q22"/>
    <mergeCell ref="R21:R22"/>
    <mergeCell ref="S21:T22"/>
    <mergeCell ref="D26:E26"/>
    <mergeCell ref="G26:H26"/>
    <mergeCell ref="S26:T26"/>
    <mergeCell ref="D25:E25"/>
    <mergeCell ref="G25:H25"/>
    <mergeCell ref="S25:T25"/>
    <mergeCell ref="M26:N26"/>
    <mergeCell ref="P26:Q26"/>
    <mergeCell ref="D29:E29"/>
    <mergeCell ref="G29:H29"/>
    <mergeCell ref="S29:T29"/>
    <mergeCell ref="D27:E27"/>
    <mergeCell ref="G27:H27"/>
    <mergeCell ref="S27:T27"/>
    <mergeCell ref="D28:E28"/>
    <mergeCell ref="G28:H28"/>
    <mergeCell ref="S28:T28"/>
    <mergeCell ref="M29:N29"/>
    <mergeCell ref="P29:Q29"/>
    <mergeCell ref="M25:N25"/>
    <mergeCell ref="P25:Q25"/>
    <mergeCell ref="A1:Z2"/>
    <mergeCell ref="A3:Z4"/>
    <mergeCell ref="A5:Z5"/>
    <mergeCell ref="S7:T7"/>
    <mergeCell ref="A7:A9"/>
    <mergeCell ref="K7:L7"/>
    <mergeCell ref="U7:V7"/>
    <mergeCell ref="W7:X7"/>
    <mergeCell ref="C7:D7"/>
    <mergeCell ref="G7:H7"/>
    <mergeCell ref="I7:J7"/>
    <mergeCell ref="M7:N7"/>
    <mergeCell ref="O7:P7"/>
    <mergeCell ref="Q7:R7"/>
    <mergeCell ref="Y7:Z7"/>
    <mergeCell ref="E7:F7"/>
    <mergeCell ref="AB20:AD20"/>
    <mergeCell ref="Y19:AG19"/>
    <mergeCell ref="AE21:AF22"/>
    <mergeCell ref="AE20:AG20"/>
    <mergeCell ref="AG21:AG22"/>
    <mergeCell ref="S19:X19"/>
    <mergeCell ref="AB29:AC29"/>
    <mergeCell ref="AB28:AC28"/>
    <mergeCell ref="AB27:AC27"/>
    <mergeCell ref="AB26:AC26"/>
    <mergeCell ref="AB25:AC25"/>
    <mergeCell ref="AB24:AC24"/>
    <mergeCell ref="AB23:AC23"/>
    <mergeCell ref="Y26:Z26"/>
    <mergeCell ref="Y27:Z27"/>
    <mergeCell ref="Y28:Z28"/>
    <mergeCell ref="Y29:Z29"/>
    <mergeCell ref="Y21:Z22"/>
    <mergeCell ref="Y23:Z23"/>
    <mergeCell ref="Y24:Z24"/>
    <mergeCell ref="Y25:Z25"/>
    <mergeCell ref="V24:W24"/>
    <mergeCell ref="V25:W25"/>
    <mergeCell ref="V26:W26"/>
    <mergeCell ref="AE28:AF28"/>
    <mergeCell ref="AE29:AF29"/>
    <mergeCell ref="AE23:AF23"/>
    <mergeCell ref="AE24:AF24"/>
    <mergeCell ref="AE25:AF25"/>
    <mergeCell ref="AE26:AF26"/>
    <mergeCell ref="AE27:AF27"/>
    <mergeCell ref="AD21:AD22"/>
    <mergeCell ref="AB21:AC22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2" orientation="landscape" useFirstPageNumber="1" r:id="rId1"/>
  <headerFooter>
    <oddHeader>&amp;L&amp;"Trebuchet MS,Negrito"&amp;12&amp;K01+014AGRUPAMENTO DE ESCOLAS MIGUEL TORGA&amp;C
&amp;R&amp;"Trebuchet MS,Negrito itálico"&amp;12AUTOAVALIAÇÃO
3ºPeríodo  2012/13
Tabela VII</oddHeader>
    <oddFooter>&amp;C
&amp;R8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314B0"/>
  </sheetPr>
  <dimension ref="A1:AH29"/>
  <sheetViews>
    <sheetView showGridLines="0" workbookViewId="0">
      <selection activeCell="N28" sqref="N28:O28"/>
    </sheetView>
  </sheetViews>
  <sheetFormatPr defaultRowHeight="12.75"/>
  <cols>
    <col min="1" max="1" width="5.7109375" customWidth="1"/>
    <col min="2" max="2" width="6" bestFit="1" customWidth="1"/>
    <col min="3" max="32" width="6.7109375" customWidth="1"/>
    <col min="33" max="33" width="4.5703125" customWidth="1"/>
    <col min="34" max="34" width="5.140625" customWidth="1"/>
  </cols>
  <sheetData>
    <row r="1" spans="1:34" ht="27.75" customHeight="1">
      <c r="L1" s="1002"/>
      <c r="M1" s="1002"/>
      <c r="N1" s="1004" t="s">
        <v>124</v>
      </c>
      <c r="O1" s="1002"/>
      <c r="P1" s="1002"/>
      <c r="Q1" s="1002"/>
      <c r="R1" s="1002"/>
      <c r="S1" s="1002"/>
      <c r="T1" s="1002"/>
      <c r="U1" s="1002"/>
      <c r="V1" s="1002"/>
      <c r="X1" s="1002"/>
      <c r="Y1" s="1002"/>
      <c r="Z1" s="1002"/>
      <c r="AA1" s="1002"/>
      <c r="AB1" s="1002"/>
      <c r="AC1" s="1002"/>
      <c r="AD1" s="1002"/>
      <c r="AE1" s="1002"/>
      <c r="AF1" s="1002"/>
      <c r="AG1" s="1002"/>
      <c r="AH1" s="1002"/>
    </row>
    <row r="2" spans="1:34" ht="12.75" customHeight="1">
      <c r="A2" s="1002"/>
      <c r="B2" s="1002"/>
      <c r="C2" s="1002"/>
      <c r="D2" s="1002"/>
      <c r="E2" s="1111"/>
      <c r="F2" s="1111"/>
      <c r="G2" s="1002"/>
      <c r="H2" s="1002"/>
      <c r="I2" s="1002"/>
      <c r="J2" s="1002"/>
      <c r="K2" s="1002"/>
      <c r="L2" s="1002"/>
      <c r="M2" s="1002"/>
      <c r="N2" s="1002"/>
      <c r="O2" s="1002"/>
      <c r="P2" s="1002"/>
      <c r="Q2" s="1002"/>
      <c r="R2" s="1002"/>
      <c r="S2" s="1002"/>
      <c r="T2" s="1002"/>
      <c r="U2" s="1002"/>
      <c r="V2" s="1002"/>
      <c r="W2" s="1002"/>
      <c r="X2" s="1002"/>
      <c r="Y2" s="1002"/>
      <c r="Z2" s="1002"/>
      <c r="AA2" s="1002"/>
      <c r="AB2" s="1002"/>
      <c r="AC2" s="1002"/>
      <c r="AD2" s="1002"/>
      <c r="AE2" s="1002"/>
      <c r="AF2" s="1002"/>
      <c r="AG2" s="1002"/>
      <c r="AH2" s="1002"/>
    </row>
    <row r="3" spans="1:34" ht="24" customHeight="1">
      <c r="C3" s="1001"/>
      <c r="D3" s="1001"/>
      <c r="E3" s="1110"/>
      <c r="F3" s="1110"/>
      <c r="G3" s="1001"/>
      <c r="H3" s="1001"/>
      <c r="I3" s="1001"/>
      <c r="J3" s="1001"/>
      <c r="K3" s="1001"/>
      <c r="L3" s="1001"/>
      <c r="M3" s="1001"/>
      <c r="N3" s="1001"/>
      <c r="O3" s="1001"/>
      <c r="P3" s="1001"/>
      <c r="Q3" s="1005" t="s">
        <v>130</v>
      </c>
      <c r="R3" s="1001"/>
      <c r="S3" s="1001"/>
      <c r="T3" s="1001"/>
      <c r="U3" s="1001"/>
      <c r="V3" s="1001"/>
      <c r="W3" s="1001"/>
      <c r="X3" s="1001"/>
      <c r="Y3" s="1001"/>
      <c r="Z3" s="1001"/>
      <c r="AA3" s="1001"/>
      <c r="AB3" s="1001"/>
      <c r="AC3" s="1001"/>
      <c r="AD3" s="1001"/>
      <c r="AE3" s="1001"/>
      <c r="AF3" s="1001"/>
      <c r="AG3" s="1001"/>
      <c r="AH3" s="1001"/>
    </row>
    <row r="4" spans="1:34" ht="12.75" customHeight="1">
      <c r="A4" s="1001"/>
      <c r="B4" s="1001"/>
      <c r="C4" s="1001"/>
      <c r="D4" s="1001"/>
      <c r="E4" s="1110"/>
      <c r="F4" s="1110"/>
      <c r="G4" s="1001"/>
      <c r="H4" s="1001"/>
      <c r="I4" s="1001"/>
      <c r="J4" s="1001"/>
      <c r="K4" s="1001"/>
      <c r="L4" s="1001"/>
      <c r="M4" s="1001"/>
      <c r="N4" s="1001"/>
      <c r="O4" s="1001"/>
      <c r="P4" s="1001"/>
      <c r="Q4" s="1001"/>
      <c r="R4" s="1001"/>
      <c r="S4" s="1001"/>
      <c r="T4" s="1001"/>
      <c r="U4" s="1001"/>
      <c r="V4" s="1001"/>
      <c r="W4" s="1001"/>
      <c r="X4" s="1001"/>
      <c r="Y4" s="1001"/>
      <c r="Z4" s="1001"/>
      <c r="AA4" s="1001"/>
      <c r="AB4" s="1001"/>
      <c r="AC4" s="1001"/>
      <c r="AD4" s="1001"/>
      <c r="AE4" s="1001"/>
      <c r="AF4" s="1001"/>
      <c r="AG4" s="1001"/>
      <c r="AH4" s="1001"/>
    </row>
    <row r="5" spans="1:34" ht="20.25">
      <c r="A5" s="249"/>
      <c r="B5" s="249"/>
      <c r="C5" s="249"/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49"/>
      <c r="T5" s="249"/>
      <c r="U5" s="249"/>
      <c r="V5" s="249"/>
      <c r="W5" s="249"/>
      <c r="X5" s="249"/>
      <c r="Y5" s="249"/>
      <c r="Z5" s="249"/>
      <c r="AA5" s="249"/>
      <c r="AB5" s="249"/>
      <c r="AC5" s="249"/>
      <c r="AD5" s="249"/>
      <c r="AE5" s="249"/>
      <c r="AF5" s="249"/>
      <c r="AG5" s="249"/>
      <c r="AH5" s="249"/>
    </row>
    <row r="6" spans="1:34" ht="25.5">
      <c r="I6" s="1003"/>
      <c r="J6" s="1003"/>
      <c r="K6" s="1003"/>
      <c r="L6" s="1003"/>
      <c r="M6" s="1003"/>
      <c r="N6" s="1003"/>
      <c r="O6" s="1003"/>
      <c r="P6" s="1369" t="s">
        <v>492</v>
      </c>
      <c r="Q6" s="1370"/>
      <c r="R6" s="1370"/>
      <c r="S6" s="1370"/>
      <c r="T6" s="1370"/>
      <c r="U6" s="1370"/>
      <c r="V6" s="1003"/>
      <c r="W6" s="1003"/>
      <c r="X6" s="1003"/>
      <c r="Y6" s="1003"/>
      <c r="Z6" s="1003"/>
      <c r="AA6" s="1003"/>
      <c r="AB6" s="1003"/>
      <c r="AC6" s="1003"/>
      <c r="AD6" s="1003"/>
      <c r="AE6" s="1003"/>
      <c r="AF6" s="1003"/>
      <c r="AG6" s="1003"/>
      <c r="AH6" s="1003"/>
    </row>
    <row r="7" spans="1:34" ht="13.5" thickBot="1"/>
    <row r="8" spans="1:34" ht="13.5" customHeight="1" thickBot="1">
      <c r="A8" s="1240" t="s">
        <v>128</v>
      </c>
      <c r="B8" s="105" t="s">
        <v>7</v>
      </c>
      <c r="C8" s="1279" t="s">
        <v>25</v>
      </c>
      <c r="D8" s="1289" t="s">
        <v>25</v>
      </c>
      <c r="E8" s="1347" t="s">
        <v>608</v>
      </c>
      <c r="F8" s="1348"/>
      <c r="G8" s="1290" t="s">
        <v>493</v>
      </c>
      <c r="H8" s="1289"/>
      <c r="I8" s="1290" t="s">
        <v>494</v>
      </c>
      <c r="J8" s="1289"/>
      <c r="K8" s="1367" t="s">
        <v>43</v>
      </c>
      <c r="L8" s="1368"/>
      <c r="M8" s="1019" t="s">
        <v>42</v>
      </c>
      <c r="N8" s="1015"/>
      <c r="O8" s="1367" t="s">
        <v>23</v>
      </c>
      <c r="P8" s="1368"/>
      <c r="Q8" s="1367" t="s">
        <v>120</v>
      </c>
      <c r="R8" s="1368"/>
      <c r="S8" s="1367" t="s">
        <v>41</v>
      </c>
      <c r="T8" s="1368"/>
      <c r="U8" s="1367" t="s">
        <v>129</v>
      </c>
      <c r="V8" s="1368"/>
      <c r="W8" s="1367" t="s">
        <v>488</v>
      </c>
      <c r="X8" s="1368"/>
      <c r="Y8" s="1367" t="s">
        <v>122</v>
      </c>
      <c r="Z8" s="1368"/>
      <c r="AA8" s="1290" t="s">
        <v>80</v>
      </c>
      <c r="AB8" s="1289" t="s">
        <v>22</v>
      </c>
      <c r="AC8" s="1290" t="s">
        <v>20</v>
      </c>
      <c r="AD8" s="1289"/>
      <c r="AE8" s="1290" t="s">
        <v>21</v>
      </c>
      <c r="AF8" s="1289"/>
      <c r="AG8" s="15"/>
      <c r="AH8" s="15"/>
    </row>
    <row r="9" spans="1:34" ht="15" customHeight="1">
      <c r="A9" s="1241"/>
      <c r="B9" s="106" t="s">
        <v>19</v>
      </c>
      <c r="C9" s="85" t="s">
        <v>18</v>
      </c>
      <c r="D9" s="85" t="s">
        <v>17</v>
      </c>
      <c r="E9" s="85" t="s">
        <v>18</v>
      </c>
      <c r="F9" s="85" t="s">
        <v>17</v>
      </c>
      <c r="G9" s="85" t="s">
        <v>18</v>
      </c>
      <c r="H9" s="85" t="s">
        <v>17</v>
      </c>
      <c r="I9" s="85" t="s">
        <v>18</v>
      </c>
      <c r="J9" s="85" t="s">
        <v>17</v>
      </c>
      <c r="K9" s="85" t="s">
        <v>18</v>
      </c>
      <c r="L9" s="85" t="s">
        <v>17</v>
      </c>
      <c r="M9" s="85" t="s">
        <v>18</v>
      </c>
      <c r="N9" s="85" t="s">
        <v>17</v>
      </c>
      <c r="O9" s="85" t="s">
        <v>18</v>
      </c>
      <c r="P9" s="85" t="s">
        <v>17</v>
      </c>
      <c r="Q9" s="85" t="s">
        <v>18</v>
      </c>
      <c r="R9" s="85" t="s">
        <v>17</v>
      </c>
      <c r="S9" s="85" t="s">
        <v>18</v>
      </c>
      <c r="T9" s="85" t="s">
        <v>17</v>
      </c>
      <c r="U9" s="85" t="s">
        <v>18</v>
      </c>
      <c r="V9" s="85" t="s">
        <v>17</v>
      </c>
      <c r="W9" s="85" t="s">
        <v>18</v>
      </c>
      <c r="X9" s="85" t="s">
        <v>17</v>
      </c>
      <c r="Y9" s="85" t="s">
        <v>18</v>
      </c>
      <c r="Z9" s="85" t="s">
        <v>17</v>
      </c>
      <c r="AA9" s="85" t="s">
        <v>18</v>
      </c>
      <c r="AB9" s="85" t="s">
        <v>17</v>
      </c>
      <c r="AC9" s="85" t="s">
        <v>18</v>
      </c>
      <c r="AD9" s="85" t="s">
        <v>17</v>
      </c>
      <c r="AE9" s="85" t="s">
        <v>18</v>
      </c>
      <c r="AF9" s="85" t="s">
        <v>17</v>
      </c>
    </row>
    <row r="10" spans="1:34" ht="14.25" thickBot="1">
      <c r="A10" s="1242"/>
      <c r="B10" s="107" t="s">
        <v>16</v>
      </c>
      <c r="C10" s="90" t="s">
        <v>323</v>
      </c>
      <c r="D10" s="90" t="s">
        <v>324</v>
      </c>
      <c r="E10" s="90" t="s">
        <v>323</v>
      </c>
      <c r="F10" s="90" t="s">
        <v>324</v>
      </c>
      <c r="G10" s="90" t="s">
        <v>323</v>
      </c>
      <c r="H10" s="90" t="s">
        <v>324</v>
      </c>
      <c r="I10" s="90" t="s">
        <v>323</v>
      </c>
      <c r="J10" s="90" t="s">
        <v>324</v>
      </c>
      <c r="K10" s="90" t="s">
        <v>323</v>
      </c>
      <c r="L10" s="90" t="s">
        <v>324</v>
      </c>
      <c r="M10" s="90" t="s">
        <v>323</v>
      </c>
      <c r="N10" s="90" t="s">
        <v>324</v>
      </c>
      <c r="O10" s="90" t="s">
        <v>323</v>
      </c>
      <c r="P10" s="90" t="s">
        <v>324</v>
      </c>
      <c r="Q10" s="90" t="s">
        <v>323</v>
      </c>
      <c r="R10" s="90" t="s">
        <v>324</v>
      </c>
      <c r="S10" s="90" t="s">
        <v>323</v>
      </c>
      <c r="T10" s="90" t="s">
        <v>324</v>
      </c>
      <c r="U10" s="90" t="s">
        <v>323</v>
      </c>
      <c r="V10" s="90" t="s">
        <v>324</v>
      </c>
      <c r="W10" s="90" t="s">
        <v>323</v>
      </c>
      <c r="X10" s="90" t="s">
        <v>324</v>
      </c>
      <c r="Y10" s="90" t="s">
        <v>323</v>
      </c>
      <c r="Z10" s="90" t="s">
        <v>324</v>
      </c>
      <c r="AA10" s="90" t="s">
        <v>323</v>
      </c>
      <c r="AB10" s="90" t="s">
        <v>324</v>
      </c>
      <c r="AC10" s="90" t="s">
        <v>323</v>
      </c>
      <c r="AD10" s="90" t="s">
        <v>324</v>
      </c>
      <c r="AE10" s="90" t="s">
        <v>323</v>
      </c>
      <c r="AF10" s="90" t="s">
        <v>324</v>
      </c>
    </row>
    <row r="11" spans="1:34" ht="15.75" thickBot="1">
      <c r="A11" s="88">
        <v>1</v>
      </c>
      <c r="B11" s="1016">
        <v>25</v>
      </c>
      <c r="C11" s="93">
        <v>22</v>
      </c>
      <c r="D11" s="94">
        <f t="shared" ref="D11:D16" si="0">(C11/B11)</f>
        <v>0.88</v>
      </c>
      <c r="E11" s="809"/>
      <c r="F11" s="809"/>
      <c r="G11" s="195">
        <v>19</v>
      </c>
      <c r="H11" s="196">
        <f t="shared" ref="H11:H17" si="1">(G11/B11)</f>
        <v>0.76</v>
      </c>
      <c r="I11" s="195">
        <v>14</v>
      </c>
      <c r="J11" s="196">
        <f t="shared" ref="J11:J16" si="2">I11/B11</f>
        <v>0.56000000000000005</v>
      </c>
      <c r="K11" s="93">
        <v>18</v>
      </c>
      <c r="L11" s="94">
        <f t="shared" ref="L11:L17" si="3">(K11/B11)</f>
        <v>0.72</v>
      </c>
      <c r="M11" s="93">
        <v>15</v>
      </c>
      <c r="N11" s="94">
        <f t="shared" ref="N11:N17" si="4">(M11/ B11)</f>
        <v>0.6</v>
      </c>
      <c r="O11" s="93">
        <v>19</v>
      </c>
      <c r="P11" s="94">
        <f t="shared" ref="P11:P17" si="5">(O11/B11)</f>
        <v>0.76</v>
      </c>
      <c r="Q11" s="93">
        <v>20</v>
      </c>
      <c r="R11" s="94">
        <f t="shared" ref="R11:R17" si="6">(Q11/B11)</f>
        <v>0.8</v>
      </c>
      <c r="S11" s="93">
        <v>17</v>
      </c>
      <c r="T11" s="94">
        <f t="shared" ref="T11:T17" si="7">(S11/B11)</f>
        <v>0.68</v>
      </c>
      <c r="U11" s="93">
        <v>23</v>
      </c>
      <c r="V11" s="94">
        <f t="shared" ref="V11:V17" si="8">(U11/B11)</f>
        <v>0.92</v>
      </c>
      <c r="W11" s="93">
        <v>24</v>
      </c>
      <c r="X11" s="94">
        <f t="shared" ref="X11:X17" si="9">(W11/B11)</f>
        <v>0.96</v>
      </c>
      <c r="Y11" s="93">
        <v>23</v>
      </c>
      <c r="Z11" s="94">
        <f t="shared" ref="Z11:Z17" si="10">(Y11/B11)</f>
        <v>0.92</v>
      </c>
      <c r="AA11" s="93">
        <v>21</v>
      </c>
      <c r="AB11" s="94">
        <f t="shared" ref="AB11:AB17" si="11">(AA11/B11)</f>
        <v>0.84</v>
      </c>
      <c r="AC11" s="93">
        <v>1</v>
      </c>
      <c r="AD11" s="94">
        <f>AC11/1</f>
        <v>1</v>
      </c>
      <c r="AE11" s="93">
        <v>22</v>
      </c>
      <c r="AF11" s="94">
        <f t="shared" ref="AF11:AF17" si="12">AE11/B11</f>
        <v>0.88</v>
      </c>
      <c r="AG11" s="17"/>
      <c r="AH11" s="17"/>
    </row>
    <row r="12" spans="1:34" ht="15.75" thickBot="1">
      <c r="A12" s="88">
        <v>2</v>
      </c>
      <c r="B12" s="1017">
        <v>17</v>
      </c>
      <c r="C12" s="93">
        <v>12</v>
      </c>
      <c r="D12" s="94">
        <f t="shared" si="0"/>
        <v>0.70588235294117652</v>
      </c>
      <c r="E12" s="809"/>
      <c r="F12" s="809"/>
      <c r="G12" s="195">
        <v>9</v>
      </c>
      <c r="H12" s="196">
        <f t="shared" si="1"/>
        <v>0.52941176470588236</v>
      </c>
      <c r="I12" s="195">
        <v>16</v>
      </c>
      <c r="J12" s="196">
        <f t="shared" si="2"/>
        <v>0.94117647058823528</v>
      </c>
      <c r="K12" s="93">
        <v>13</v>
      </c>
      <c r="L12" s="94">
        <f t="shared" si="3"/>
        <v>0.76470588235294112</v>
      </c>
      <c r="M12" s="93">
        <v>6</v>
      </c>
      <c r="N12" s="94">
        <f t="shared" si="4"/>
        <v>0.35294117647058826</v>
      </c>
      <c r="O12" s="93">
        <v>14</v>
      </c>
      <c r="P12" s="94">
        <f t="shared" si="5"/>
        <v>0.82352941176470584</v>
      </c>
      <c r="Q12" s="93">
        <v>13</v>
      </c>
      <c r="R12" s="94">
        <f t="shared" si="6"/>
        <v>0.76470588235294112</v>
      </c>
      <c r="S12" s="93">
        <v>15</v>
      </c>
      <c r="T12" s="94">
        <f t="shared" si="7"/>
        <v>0.88235294117647056</v>
      </c>
      <c r="U12" s="93">
        <v>15</v>
      </c>
      <c r="V12" s="94">
        <f t="shared" si="8"/>
        <v>0.88235294117647056</v>
      </c>
      <c r="W12" s="195">
        <v>16</v>
      </c>
      <c r="X12" s="196">
        <f t="shared" si="9"/>
        <v>0.94117647058823528</v>
      </c>
      <c r="Y12" s="93">
        <v>17</v>
      </c>
      <c r="Z12" s="94">
        <f t="shared" si="10"/>
        <v>1</v>
      </c>
      <c r="AA12" s="93">
        <v>15</v>
      </c>
      <c r="AB12" s="94">
        <f t="shared" si="11"/>
        <v>0.88235294117647056</v>
      </c>
      <c r="AC12" s="93">
        <v>5</v>
      </c>
      <c r="AD12" s="94">
        <f>AC12/5</f>
        <v>1</v>
      </c>
      <c r="AE12" s="93">
        <v>14</v>
      </c>
      <c r="AF12" s="94">
        <f t="shared" si="12"/>
        <v>0.82352941176470584</v>
      </c>
      <c r="AG12" s="17"/>
      <c r="AH12" s="17"/>
    </row>
    <row r="13" spans="1:34" ht="15.75" thickBot="1">
      <c r="A13" s="88">
        <v>3</v>
      </c>
      <c r="B13" s="1017">
        <v>24</v>
      </c>
      <c r="C13" s="93">
        <v>24</v>
      </c>
      <c r="D13" s="94">
        <f t="shared" si="0"/>
        <v>1</v>
      </c>
      <c r="E13" s="809"/>
      <c r="F13" s="809"/>
      <c r="G13" s="195">
        <v>14</v>
      </c>
      <c r="H13" s="196">
        <f t="shared" si="1"/>
        <v>0.58333333333333337</v>
      </c>
      <c r="I13" s="195">
        <v>24</v>
      </c>
      <c r="J13" s="196">
        <f t="shared" si="2"/>
        <v>1</v>
      </c>
      <c r="K13" s="93">
        <v>17</v>
      </c>
      <c r="L13" s="94">
        <f t="shared" si="3"/>
        <v>0.70833333333333337</v>
      </c>
      <c r="M13" s="93">
        <v>6</v>
      </c>
      <c r="N13" s="94">
        <f t="shared" si="4"/>
        <v>0.25</v>
      </c>
      <c r="O13" s="93">
        <v>20</v>
      </c>
      <c r="P13" s="94">
        <f t="shared" si="5"/>
        <v>0.83333333333333337</v>
      </c>
      <c r="Q13" s="93">
        <v>18</v>
      </c>
      <c r="R13" s="94">
        <f t="shared" si="6"/>
        <v>0.75</v>
      </c>
      <c r="S13" s="93">
        <v>21</v>
      </c>
      <c r="T13" s="94">
        <f t="shared" si="7"/>
        <v>0.875</v>
      </c>
      <c r="U13" s="93">
        <v>21</v>
      </c>
      <c r="V13" s="94">
        <f t="shared" si="8"/>
        <v>0.875</v>
      </c>
      <c r="W13" s="195">
        <v>24</v>
      </c>
      <c r="X13" s="196">
        <f t="shared" si="9"/>
        <v>1</v>
      </c>
      <c r="Y13" s="93">
        <v>22</v>
      </c>
      <c r="Z13" s="94">
        <f t="shared" si="10"/>
        <v>0.91666666666666663</v>
      </c>
      <c r="AA13" s="93">
        <v>22</v>
      </c>
      <c r="AB13" s="94">
        <f t="shared" si="11"/>
        <v>0.91666666666666663</v>
      </c>
      <c r="AC13" s="93">
        <v>8</v>
      </c>
      <c r="AD13" s="94">
        <f>AC13/8</f>
        <v>1</v>
      </c>
      <c r="AE13" s="93">
        <v>24</v>
      </c>
      <c r="AF13" s="94">
        <f t="shared" si="12"/>
        <v>1</v>
      </c>
      <c r="AG13" s="17"/>
      <c r="AH13" s="17"/>
    </row>
    <row r="14" spans="1:34" ht="15.75" thickBot="1">
      <c r="A14" s="88">
        <v>4</v>
      </c>
      <c r="B14" s="1016">
        <v>18</v>
      </c>
      <c r="C14" s="93">
        <v>11</v>
      </c>
      <c r="D14" s="94">
        <f t="shared" si="0"/>
        <v>0.61111111111111116</v>
      </c>
      <c r="E14" s="809"/>
      <c r="F14" s="809"/>
      <c r="G14" s="195">
        <v>10</v>
      </c>
      <c r="H14" s="196">
        <f t="shared" si="1"/>
        <v>0.55555555555555558</v>
      </c>
      <c r="I14" s="195">
        <v>12</v>
      </c>
      <c r="J14" s="196">
        <f t="shared" si="2"/>
        <v>0.66666666666666663</v>
      </c>
      <c r="K14" s="93">
        <v>12</v>
      </c>
      <c r="L14" s="94">
        <f t="shared" si="3"/>
        <v>0.66666666666666663</v>
      </c>
      <c r="M14" s="93">
        <v>11</v>
      </c>
      <c r="N14" s="94">
        <f t="shared" si="4"/>
        <v>0.61111111111111116</v>
      </c>
      <c r="O14" s="93">
        <v>9</v>
      </c>
      <c r="P14" s="94">
        <f t="shared" si="5"/>
        <v>0.5</v>
      </c>
      <c r="Q14" s="93">
        <v>15</v>
      </c>
      <c r="R14" s="94">
        <f t="shared" si="6"/>
        <v>0.83333333333333337</v>
      </c>
      <c r="S14" s="93">
        <v>13</v>
      </c>
      <c r="T14" s="94">
        <f t="shared" si="7"/>
        <v>0.72222222222222221</v>
      </c>
      <c r="U14" s="93">
        <v>14</v>
      </c>
      <c r="V14" s="94">
        <f t="shared" si="8"/>
        <v>0.77777777777777779</v>
      </c>
      <c r="W14" s="195">
        <v>14</v>
      </c>
      <c r="X14" s="196">
        <f t="shared" si="9"/>
        <v>0.77777777777777779</v>
      </c>
      <c r="Y14" s="93">
        <v>14</v>
      </c>
      <c r="Z14" s="94">
        <f t="shared" si="10"/>
        <v>0.77777777777777779</v>
      </c>
      <c r="AA14" s="93">
        <v>13</v>
      </c>
      <c r="AB14" s="94">
        <f t="shared" si="11"/>
        <v>0.72222222222222221</v>
      </c>
      <c r="AC14" s="808"/>
      <c r="AD14" s="809"/>
      <c r="AE14" s="93">
        <v>13</v>
      </c>
      <c r="AF14" s="94">
        <f t="shared" si="12"/>
        <v>0.72222222222222221</v>
      </c>
      <c r="AG14" s="17"/>
      <c r="AH14" s="17"/>
    </row>
    <row r="15" spans="1:34" ht="15.75" thickBot="1">
      <c r="A15" s="88">
        <v>5</v>
      </c>
      <c r="B15" s="1017">
        <v>18</v>
      </c>
      <c r="C15" s="93">
        <v>7</v>
      </c>
      <c r="D15" s="94">
        <f>(C15/(B15-7))</f>
        <v>0.63636363636363635</v>
      </c>
      <c r="E15" s="93">
        <v>7</v>
      </c>
      <c r="F15" s="94">
        <f>E15/7</f>
        <v>1</v>
      </c>
      <c r="G15" s="195">
        <v>10</v>
      </c>
      <c r="H15" s="196">
        <f t="shared" si="1"/>
        <v>0.55555555555555558</v>
      </c>
      <c r="I15" s="195">
        <v>12</v>
      </c>
      <c r="J15" s="196">
        <f t="shared" si="2"/>
        <v>0.66666666666666663</v>
      </c>
      <c r="K15" s="93">
        <v>8</v>
      </c>
      <c r="L15" s="94">
        <f t="shared" si="3"/>
        <v>0.44444444444444442</v>
      </c>
      <c r="M15" s="93">
        <v>8</v>
      </c>
      <c r="N15" s="94">
        <f t="shared" si="4"/>
        <v>0.44444444444444442</v>
      </c>
      <c r="O15" s="93">
        <v>7</v>
      </c>
      <c r="P15" s="94">
        <f t="shared" si="5"/>
        <v>0.3888888888888889</v>
      </c>
      <c r="Q15" s="93">
        <v>11</v>
      </c>
      <c r="R15" s="94">
        <f t="shared" si="6"/>
        <v>0.61111111111111116</v>
      </c>
      <c r="S15" s="93">
        <v>7</v>
      </c>
      <c r="T15" s="94">
        <f t="shared" si="7"/>
        <v>0.3888888888888889</v>
      </c>
      <c r="U15" s="93">
        <v>13</v>
      </c>
      <c r="V15" s="94">
        <f>(U15/B15)</f>
        <v>0.72222222222222221</v>
      </c>
      <c r="W15" s="195">
        <v>16</v>
      </c>
      <c r="X15" s="196">
        <f t="shared" si="9"/>
        <v>0.88888888888888884</v>
      </c>
      <c r="Y15" s="93">
        <v>16</v>
      </c>
      <c r="Z15" s="94">
        <f t="shared" si="10"/>
        <v>0.88888888888888884</v>
      </c>
      <c r="AA15" s="806">
        <v>14</v>
      </c>
      <c r="AB15" s="807">
        <f t="shared" si="11"/>
        <v>0.77777777777777779</v>
      </c>
      <c r="AC15" s="93">
        <v>3</v>
      </c>
      <c r="AD15" s="94">
        <f>AC15/3</f>
        <v>1</v>
      </c>
      <c r="AE15" s="93">
        <v>14</v>
      </c>
      <c r="AF15" s="94">
        <f t="shared" si="12"/>
        <v>0.77777777777777779</v>
      </c>
      <c r="AG15" s="17"/>
      <c r="AH15" s="17"/>
    </row>
    <row r="16" spans="1:34" ht="15.75" thickBot="1">
      <c r="A16" s="88">
        <v>6</v>
      </c>
      <c r="B16" s="1017">
        <v>24</v>
      </c>
      <c r="C16" s="93">
        <v>19</v>
      </c>
      <c r="D16" s="94">
        <f t="shared" si="0"/>
        <v>0.79166666666666663</v>
      </c>
      <c r="E16" s="809"/>
      <c r="F16" s="809"/>
      <c r="G16" s="195">
        <v>18</v>
      </c>
      <c r="H16" s="196">
        <f t="shared" si="1"/>
        <v>0.75</v>
      </c>
      <c r="I16" s="195">
        <v>18</v>
      </c>
      <c r="J16" s="196">
        <f t="shared" si="2"/>
        <v>0.75</v>
      </c>
      <c r="K16" s="93">
        <v>17</v>
      </c>
      <c r="L16" s="94">
        <f t="shared" si="3"/>
        <v>0.70833333333333337</v>
      </c>
      <c r="M16" s="93">
        <v>11</v>
      </c>
      <c r="N16" s="94">
        <f t="shared" si="4"/>
        <v>0.45833333333333331</v>
      </c>
      <c r="O16" s="93">
        <v>14</v>
      </c>
      <c r="P16" s="94">
        <f t="shared" si="5"/>
        <v>0.58333333333333337</v>
      </c>
      <c r="Q16" s="93">
        <v>17</v>
      </c>
      <c r="R16" s="94">
        <f t="shared" si="6"/>
        <v>0.70833333333333337</v>
      </c>
      <c r="S16" s="93">
        <v>13</v>
      </c>
      <c r="T16" s="94">
        <f t="shared" si="7"/>
        <v>0.54166666666666663</v>
      </c>
      <c r="U16" s="93">
        <v>17</v>
      </c>
      <c r="V16" s="94">
        <f t="shared" si="8"/>
        <v>0.70833333333333337</v>
      </c>
      <c r="W16" s="93">
        <v>22</v>
      </c>
      <c r="X16" s="94">
        <f t="shared" si="9"/>
        <v>0.91666666666666663</v>
      </c>
      <c r="Y16" s="93">
        <v>21</v>
      </c>
      <c r="Z16" s="94">
        <f t="shared" si="10"/>
        <v>0.875</v>
      </c>
      <c r="AA16" s="93">
        <v>18</v>
      </c>
      <c r="AB16" s="94">
        <f t="shared" si="11"/>
        <v>0.75</v>
      </c>
      <c r="AC16" s="93">
        <v>4</v>
      </c>
      <c r="AD16" s="94">
        <f>AC16/5</f>
        <v>0.8</v>
      </c>
      <c r="AE16" s="93">
        <v>17</v>
      </c>
      <c r="AF16" s="94">
        <f t="shared" si="12"/>
        <v>0.70833333333333337</v>
      </c>
      <c r="AG16" s="17"/>
      <c r="AH16" s="17"/>
    </row>
    <row r="17" spans="1:34" ht="18.75" thickBot="1">
      <c r="A17" s="86" t="s">
        <v>0</v>
      </c>
      <c r="B17" s="87">
        <f>SUM(B11:B16)</f>
        <v>126</v>
      </c>
      <c r="C17" s="87">
        <f>SUM(C11:C16)</f>
        <v>95</v>
      </c>
      <c r="D17" s="92">
        <f>(C17/(B17-7))</f>
        <v>0.79831932773109249</v>
      </c>
      <c r="E17" s="87">
        <f>SUM(E11:E16)</f>
        <v>7</v>
      </c>
      <c r="F17" s="92">
        <f>E17/7</f>
        <v>1</v>
      </c>
      <c r="G17" s="87">
        <f>SUM(G11:G16)</f>
        <v>80</v>
      </c>
      <c r="H17" s="92">
        <f t="shared" si="1"/>
        <v>0.63492063492063489</v>
      </c>
      <c r="I17" s="87">
        <f>SUM(I11:I16)</f>
        <v>96</v>
      </c>
      <c r="J17" s="92">
        <f>I17/B17</f>
        <v>0.76190476190476186</v>
      </c>
      <c r="K17" s="87">
        <f>SUM(K11:K16)</f>
        <v>85</v>
      </c>
      <c r="L17" s="92">
        <f t="shared" si="3"/>
        <v>0.67460317460317465</v>
      </c>
      <c r="M17" s="87">
        <f>SUM(M11:M16)</f>
        <v>57</v>
      </c>
      <c r="N17" s="92">
        <f t="shared" si="4"/>
        <v>0.45238095238095238</v>
      </c>
      <c r="O17" s="87">
        <f>SUM(O11:O16)</f>
        <v>83</v>
      </c>
      <c r="P17" s="92">
        <f t="shared" si="5"/>
        <v>0.65873015873015872</v>
      </c>
      <c r="Q17" s="87">
        <f>SUM(Q11:Q16)</f>
        <v>94</v>
      </c>
      <c r="R17" s="92">
        <f t="shared" si="6"/>
        <v>0.74603174603174605</v>
      </c>
      <c r="S17" s="87">
        <f>SUM(S11:S16)</f>
        <v>86</v>
      </c>
      <c r="T17" s="92">
        <f t="shared" si="7"/>
        <v>0.68253968253968256</v>
      </c>
      <c r="U17" s="87">
        <f>SUM(U11:U16)</f>
        <v>103</v>
      </c>
      <c r="V17" s="92">
        <f t="shared" si="8"/>
        <v>0.81746031746031744</v>
      </c>
      <c r="W17" s="87">
        <f>SUM(W11:W16)</f>
        <v>116</v>
      </c>
      <c r="X17" s="92">
        <f t="shared" si="9"/>
        <v>0.92063492063492058</v>
      </c>
      <c r="Y17" s="87">
        <f>SUM(Y11:Y16)</f>
        <v>113</v>
      </c>
      <c r="Z17" s="92">
        <f t="shared" si="10"/>
        <v>0.89682539682539686</v>
      </c>
      <c r="AA17" s="87">
        <f>SUM(AA11:AA16)</f>
        <v>103</v>
      </c>
      <c r="AB17" s="92">
        <f t="shared" si="11"/>
        <v>0.81746031746031744</v>
      </c>
      <c r="AC17" s="87">
        <f>SUM(AC11:AC16)</f>
        <v>21</v>
      </c>
      <c r="AD17" s="194">
        <f t="shared" ref="AD17" si="13">AC17/B17</f>
        <v>0.16666666666666666</v>
      </c>
      <c r="AE17" s="87">
        <f>SUM(AE11:AE16)</f>
        <v>104</v>
      </c>
      <c r="AF17" s="92">
        <f t="shared" si="12"/>
        <v>0.82539682539682535</v>
      </c>
      <c r="AG17" s="41"/>
      <c r="AH17" s="41"/>
    </row>
    <row r="18" spans="1:34" ht="15">
      <c r="B18" s="30"/>
      <c r="C18" s="108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31"/>
      <c r="AE18" s="13"/>
    </row>
    <row r="19" spans="1:34" ht="15" thickBot="1">
      <c r="Z19" s="4"/>
      <c r="AA19" s="4"/>
      <c r="AB19" s="4"/>
      <c r="AC19" s="4"/>
      <c r="AD19" s="4"/>
      <c r="AE19" s="4"/>
      <c r="AF19" s="4"/>
    </row>
    <row r="20" spans="1:34" ht="30" customHeight="1" thickBot="1">
      <c r="G20" s="1206"/>
      <c r="H20" s="1355" t="s">
        <v>545</v>
      </c>
      <c r="I20" s="1356"/>
      <c r="J20" s="1357"/>
      <c r="K20" s="1362" t="s">
        <v>636</v>
      </c>
      <c r="L20" s="1363"/>
      <c r="M20" s="1364"/>
      <c r="N20" s="1355" t="s">
        <v>549</v>
      </c>
      <c r="O20" s="1356"/>
      <c r="P20" s="1357"/>
      <c r="Q20" s="1355" t="s">
        <v>547</v>
      </c>
      <c r="R20" s="1356"/>
      <c r="S20" s="1357"/>
      <c r="T20" s="1362" t="s">
        <v>548</v>
      </c>
      <c r="U20" s="1363"/>
      <c r="V20" s="1364"/>
      <c r="W20" s="1355" t="s">
        <v>283</v>
      </c>
      <c r="X20" s="1356"/>
      <c r="Y20" s="1357"/>
      <c r="Z20" s="1355" t="s">
        <v>595</v>
      </c>
      <c r="AA20" s="1356"/>
      <c r="AB20" s="1357"/>
      <c r="AE20" s="4"/>
      <c r="AF20" s="4"/>
    </row>
    <row r="21" spans="1:34" ht="15.75" customHeight="1">
      <c r="G21" s="1344"/>
      <c r="H21" s="1365" t="s">
        <v>546</v>
      </c>
      <c r="I21" s="1263"/>
      <c r="J21" s="1240" t="s">
        <v>147</v>
      </c>
      <c r="K21" s="1365" t="s">
        <v>546</v>
      </c>
      <c r="L21" s="1263"/>
      <c r="M21" s="1240" t="s">
        <v>147</v>
      </c>
      <c r="N21" s="1266" t="s">
        <v>546</v>
      </c>
      <c r="O21" s="1267"/>
      <c r="P21" s="1241" t="s">
        <v>147</v>
      </c>
      <c r="Q21" s="1266" t="s">
        <v>546</v>
      </c>
      <c r="R21" s="1267"/>
      <c r="S21" s="1241" t="s">
        <v>147</v>
      </c>
      <c r="T21" s="1266" t="s">
        <v>546</v>
      </c>
      <c r="U21" s="1267"/>
      <c r="V21" s="1241" t="s">
        <v>147</v>
      </c>
      <c r="W21" s="1266" t="s">
        <v>546</v>
      </c>
      <c r="X21" s="1267"/>
      <c r="Y21" s="1241" t="s">
        <v>147</v>
      </c>
      <c r="Z21" s="1266" t="s">
        <v>546</v>
      </c>
      <c r="AA21" s="1267"/>
      <c r="AB21" s="1241" t="s">
        <v>147</v>
      </c>
      <c r="AE21" s="25"/>
      <c r="AF21" s="25"/>
    </row>
    <row r="22" spans="1:34" ht="15" thickBot="1">
      <c r="A22" s="4"/>
      <c r="B22" s="4"/>
      <c r="C22" s="4"/>
      <c r="D22" s="4"/>
      <c r="E22" s="4"/>
      <c r="F22" s="4"/>
      <c r="G22" s="1344"/>
      <c r="H22" s="1366"/>
      <c r="I22" s="1265"/>
      <c r="J22" s="1242"/>
      <c r="K22" s="1366"/>
      <c r="L22" s="1265"/>
      <c r="M22" s="1242"/>
      <c r="N22" s="1268"/>
      <c r="O22" s="1269"/>
      <c r="P22" s="1242"/>
      <c r="Q22" s="1268"/>
      <c r="R22" s="1269"/>
      <c r="S22" s="1242"/>
      <c r="T22" s="1268"/>
      <c r="U22" s="1269"/>
      <c r="V22" s="1242"/>
      <c r="W22" s="1268"/>
      <c r="X22" s="1269"/>
      <c r="Y22" s="1242"/>
      <c r="Z22" s="1268"/>
      <c r="AA22" s="1269"/>
      <c r="AB22" s="1242"/>
      <c r="AE22" s="5"/>
      <c r="AF22" s="5"/>
      <c r="AG22" s="5"/>
      <c r="AH22" s="5"/>
    </row>
    <row r="23" spans="1:34" ht="15.75" thickBot="1">
      <c r="A23" s="4"/>
      <c r="B23" s="4"/>
      <c r="C23" s="4"/>
      <c r="D23" s="4"/>
      <c r="E23" s="4"/>
      <c r="F23" s="4"/>
      <c r="G23" s="478" t="s">
        <v>40</v>
      </c>
      <c r="H23" s="1339">
        <v>2</v>
      </c>
      <c r="I23" s="1251"/>
      <c r="J23" s="414">
        <f>H23/B11</f>
        <v>0.08</v>
      </c>
      <c r="K23" s="1339">
        <v>1</v>
      </c>
      <c r="L23" s="1251"/>
      <c r="M23" s="414">
        <f>K23/B11</f>
        <v>0.04</v>
      </c>
      <c r="N23" s="1256">
        <v>0</v>
      </c>
      <c r="O23" s="1257"/>
      <c r="P23" s="798">
        <f t="shared" ref="P23:P29" si="14">N23/B11</f>
        <v>0</v>
      </c>
      <c r="Q23" s="1256">
        <v>10</v>
      </c>
      <c r="R23" s="1257"/>
      <c r="S23" s="798">
        <f t="shared" ref="S23:S29" si="15">Q23/B11</f>
        <v>0.4</v>
      </c>
      <c r="T23" s="1256">
        <v>12</v>
      </c>
      <c r="U23" s="1257"/>
      <c r="V23" s="800">
        <f t="shared" ref="V23:V29" si="16">T23/B11</f>
        <v>0.48</v>
      </c>
      <c r="W23" s="1254">
        <v>19</v>
      </c>
      <c r="X23" s="1255"/>
      <c r="Y23" s="799">
        <f t="shared" ref="Y23:Y29" si="17">W23/B11</f>
        <v>0.76</v>
      </c>
      <c r="Z23" s="1254">
        <f>B11-W23</f>
        <v>6</v>
      </c>
      <c r="AA23" s="1255"/>
      <c r="AB23" s="799">
        <f t="shared" ref="AB23:AB29" si="18">Z23/B11</f>
        <v>0.24</v>
      </c>
      <c r="AE23" s="5"/>
      <c r="AF23" s="5"/>
      <c r="AG23" s="5"/>
      <c r="AH23" s="5"/>
    </row>
    <row r="24" spans="1:34" ht="15.75" thickBot="1">
      <c r="A24" s="4"/>
      <c r="B24" s="4"/>
      <c r="C24" s="4"/>
      <c r="D24" s="4"/>
      <c r="E24" s="4"/>
      <c r="F24" s="4"/>
      <c r="G24" s="478" t="s">
        <v>39</v>
      </c>
      <c r="H24" s="1339">
        <v>1</v>
      </c>
      <c r="I24" s="1251"/>
      <c r="J24" s="414">
        <f t="shared" ref="J24:J28" si="19">H24/B12</f>
        <v>5.8823529411764705E-2</v>
      </c>
      <c r="K24" s="1339">
        <v>0</v>
      </c>
      <c r="L24" s="1251"/>
      <c r="M24" s="414">
        <f t="shared" ref="M24:M28" si="20">K24/B12</f>
        <v>0</v>
      </c>
      <c r="N24" s="1252">
        <v>0</v>
      </c>
      <c r="O24" s="1253"/>
      <c r="P24" s="798">
        <f t="shared" si="14"/>
        <v>0</v>
      </c>
      <c r="Q24" s="1252">
        <v>12</v>
      </c>
      <c r="R24" s="1253"/>
      <c r="S24" s="798">
        <f t="shared" si="15"/>
        <v>0.70588235294117652</v>
      </c>
      <c r="T24" s="1252">
        <v>4</v>
      </c>
      <c r="U24" s="1253"/>
      <c r="V24" s="800">
        <f t="shared" si="16"/>
        <v>0.23529411764705882</v>
      </c>
      <c r="W24" s="1254">
        <v>13</v>
      </c>
      <c r="X24" s="1255"/>
      <c r="Y24" s="799">
        <f t="shared" si="17"/>
        <v>0.76470588235294112</v>
      </c>
      <c r="Z24" s="1254">
        <f t="shared" ref="Z24:Z28" si="21">B12-W24</f>
        <v>4</v>
      </c>
      <c r="AA24" s="1255"/>
      <c r="AB24" s="799">
        <f t="shared" si="18"/>
        <v>0.23529411764705882</v>
      </c>
      <c r="AE24" s="25"/>
      <c r="AF24" s="25"/>
    </row>
    <row r="25" spans="1:34" ht="15.75" thickBot="1">
      <c r="D25" s="15"/>
      <c r="E25" s="15"/>
      <c r="F25" s="15"/>
      <c r="G25" s="478" t="s">
        <v>38</v>
      </c>
      <c r="H25" s="1339">
        <v>0</v>
      </c>
      <c r="I25" s="1251"/>
      <c r="J25" s="414">
        <f t="shared" si="19"/>
        <v>0</v>
      </c>
      <c r="K25" s="1339">
        <v>0</v>
      </c>
      <c r="L25" s="1251"/>
      <c r="M25" s="414">
        <f t="shared" si="20"/>
        <v>0</v>
      </c>
      <c r="N25" s="1252">
        <v>0</v>
      </c>
      <c r="O25" s="1253"/>
      <c r="P25" s="798">
        <f t="shared" si="14"/>
        <v>0</v>
      </c>
      <c r="Q25" s="1252">
        <v>12</v>
      </c>
      <c r="R25" s="1253"/>
      <c r="S25" s="798">
        <f t="shared" si="15"/>
        <v>0.5</v>
      </c>
      <c r="T25" s="1252">
        <v>7</v>
      </c>
      <c r="U25" s="1253"/>
      <c r="V25" s="800">
        <f t="shared" si="16"/>
        <v>0.29166666666666669</v>
      </c>
      <c r="W25" s="1254">
        <v>17</v>
      </c>
      <c r="X25" s="1255"/>
      <c r="Y25" s="799">
        <f t="shared" si="17"/>
        <v>0.70833333333333337</v>
      </c>
      <c r="Z25" s="1254">
        <f t="shared" si="21"/>
        <v>7</v>
      </c>
      <c r="AA25" s="1255"/>
      <c r="AB25" s="799">
        <f t="shared" si="18"/>
        <v>0.29166666666666669</v>
      </c>
    </row>
    <row r="26" spans="1:34" ht="15.75" thickBot="1">
      <c r="D26" s="15"/>
      <c r="E26" s="15"/>
      <c r="F26" s="15"/>
      <c r="G26" s="478" t="s">
        <v>37</v>
      </c>
      <c r="H26" s="1339">
        <v>6</v>
      </c>
      <c r="I26" s="1251"/>
      <c r="J26" s="414">
        <f t="shared" si="19"/>
        <v>0.33333333333333331</v>
      </c>
      <c r="K26" s="1339">
        <v>6</v>
      </c>
      <c r="L26" s="1251"/>
      <c r="M26" s="414">
        <f t="shared" si="20"/>
        <v>0.33333333333333331</v>
      </c>
      <c r="N26" s="1252">
        <v>1</v>
      </c>
      <c r="O26" s="1253"/>
      <c r="P26" s="798">
        <f t="shared" si="14"/>
        <v>5.5555555555555552E-2</v>
      </c>
      <c r="Q26" s="1252">
        <v>11</v>
      </c>
      <c r="R26" s="1253"/>
      <c r="S26" s="798">
        <f t="shared" si="15"/>
        <v>0.61111111111111116</v>
      </c>
      <c r="T26" s="1252">
        <v>8</v>
      </c>
      <c r="U26" s="1253"/>
      <c r="V26" s="800">
        <f t="shared" si="16"/>
        <v>0.44444444444444442</v>
      </c>
      <c r="W26" s="1345">
        <v>12</v>
      </c>
      <c r="X26" s="1346"/>
      <c r="Y26" s="799">
        <f t="shared" si="17"/>
        <v>0.66666666666666663</v>
      </c>
      <c r="Z26" s="1254">
        <f t="shared" si="21"/>
        <v>6</v>
      </c>
      <c r="AA26" s="1255"/>
      <c r="AB26" s="799">
        <f t="shared" si="18"/>
        <v>0.33333333333333331</v>
      </c>
    </row>
    <row r="27" spans="1:34" ht="15.75" thickBot="1">
      <c r="D27" s="15"/>
      <c r="E27" s="15"/>
      <c r="F27" s="15"/>
      <c r="G27" s="478" t="s">
        <v>36</v>
      </c>
      <c r="H27" s="1339">
        <v>6</v>
      </c>
      <c r="I27" s="1251"/>
      <c r="J27" s="414">
        <f t="shared" si="19"/>
        <v>0.33333333333333331</v>
      </c>
      <c r="K27" s="1339">
        <v>4</v>
      </c>
      <c r="L27" s="1251"/>
      <c r="M27" s="414">
        <f t="shared" si="20"/>
        <v>0.22222222222222221</v>
      </c>
      <c r="N27" s="1252">
        <v>0</v>
      </c>
      <c r="O27" s="1253"/>
      <c r="P27" s="798">
        <f t="shared" si="14"/>
        <v>0</v>
      </c>
      <c r="Q27" s="1252">
        <v>12</v>
      </c>
      <c r="R27" s="1253"/>
      <c r="S27" s="798">
        <f t="shared" si="15"/>
        <v>0.66666666666666663</v>
      </c>
      <c r="T27" s="1252">
        <v>5</v>
      </c>
      <c r="U27" s="1253"/>
      <c r="V27" s="800">
        <f t="shared" si="16"/>
        <v>0.27777777777777779</v>
      </c>
      <c r="W27" s="1345">
        <v>10</v>
      </c>
      <c r="X27" s="1346"/>
      <c r="Y27" s="799">
        <f t="shared" si="17"/>
        <v>0.55555555555555558</v>
      </c>
      <c r="Z27" s="1254">
        <f t="shared" si="21"/>
        <v>8</v>
      </c>
      <c r="AA27" s="1255"/>
      <c r="AB27" s="799">
        <f t="shared" si="18"/>
        <v>0.44444444444444442</v>
      </c>
    </row>
    <row r="28" spans="1:34" ht="15.75" thickBot="1">
      <c r="G28" s="478" t="s">
        <v>35</v>
      </c>
      <c r="H28" s="1339">
        <v>3</v>
      </c>
      <c r="I28" s="1251"/>
      <c r="J28" s="414">
        <f t="shared" si="19"/>
        <v>0.125</v>
      </c>
      <c r="K28" s="1339">
        <v>3</v>
      </c>
      <c r="L28" s="1251"/>
      <c r="M28" s="414">
        <f t="shared" si="20"/>
        <v>0.125</v>
      </c>
      <c r="N28" s="1252">
        <v>0</v>
      </c>
      <c r="O28" s="1253"/>
      <c r="P28" s="798">
        <f t="shared" si="14"/>
        <v>0</v>
      </c>
      <c r="Q28" s="1252">
        <v>11</v>
      </c>
      <c r="R28" s="1253"/>
      <c r="S28" s="798">
        <f t="shared" si="15"/>
        <v>0.45833333333333331</v>
      </c>
      <c r="T28" s="1252">
        <v>7</v>
      </c>
      <c r="U28" s="1253"/>
      <c r="V28" s="800">
        <f t="shared" si="16"/>
        <v>0.29166666666666669</v>
      </c>
      <c r="W28" s="1345">
        <v>17</v>
      </c>
      <c r="X28" s="1346"/>
      <c r="Y28" s="799">
        <f t="shared" si="17"/>
        <v>0.70833333333333337</v>
      </c>
      <c r="Z28" s="1254">
        <f t="shared" si="21"/>
        <v>7</v>
      </c>
      <c r="AA28" s="1255"/>
      <c r="AB28" s="799">
        <f t="shared" si="18"/>
        <v>0.29166666666666669</v>
      </c>
    </row>
    <row r="29" spans="1:34" ht="15.75" thickBot="1">
      <c r="G29" s="478" t="s">
        <v>0</v>
      </c>
      <c r="H29" s="1343">
        <f>SUM(H23:H28)</f>
        <v>18</v>
      </c>
      <c r="I29" s="1247"/>
      <c r="J29" s="194">
        <f>H29/B17</f>
        <v>0.14285714285714285</v>
      </c>
      <c r="K29" s="1343">
        <f>SUM(K23:K28)</f>
        <v>14</v>
      </c>
      <c r="L29" s="1247"/>
      <c r="M29" s="194">
        <f>K29/B17</f>
        <v>0.1111111111111111</v>
      </c>
      <c r="N29" s="1246">
        <f>SUM(N23:O28)</f>
        <v>1</v>
      </c>
      <c r="O29" s="1247"/>
      <c r="P29" s="194">
        <f t="shared" si="14"/>
        <v>7.9365079365079361E-3</v>
      </c>
      <c r="Q29" s="1246">
        <f>SUM(Q23:R28)</f>
        <v>68</v>
      </c>
      <c r="R29" s="1247"/>
      <c r="S29" s="194">
        <f t="shared" si="15"/>
        <v>0.53968253968253965</v>
      </c>
      <c r="T29" s="1248">
        <f>SUM(T23:T28)</f>
        <v>43</v>
      </c>
      <c r="U29" s="1249"/>
      <c r="V29" s="810">
        <f t="shared" si="16"/>
        <v>0.34126984126984128</v>
      </c>
      <c r="W29" s="1276">
        <f>SUM(W23:X28)</f>
        <v>88</v>
      </c>
      <c r="X29" s="1249"/>
      <c r="Y29" s="811">
        <f t="shared" si="17"/>
        <v>0.69841269841269837</v>
      </c>
      <c r="Z29" s="1276">
        <f>SUM(Z23:AA28)</f>
        <v>38</v>
      </c>
      <c r="AA29" s="1249"/>
      <c r="AB29" s="811">
        <f t="shared" si="18"/>
        <v>0.30158730158730157</v>
      </c>
    </row>
  </sheetData>
  <mergeCells count="87">
    <mergeCell ref="P6:U6"/>
    <mergeCell ref="W26:X26"/>
    <mergeCell ref="U8:V8"/>
    <mergeCell ref="AC8:AD8"/>
    <mergeCell ref="AE8:AF8"/>
    <mergeCell ref="W24:X24"/>
    <mergeCell ref="W20:Y20"/>
    <mergeCell ref="S21:S22"/>
    <mergeCell ref="T21:U22"/>
    <mergeCell ref="V21:V22"/>
    <mergeCell ref="W21:X22"/>
    <mergeCell ref="Y21:Y22"/>
    <mergeCell ref="W23:X23"/>
    <mergeCell ref="W25:X25"/>
    <mergeCell ref="AA8:AB8"/>
    <mergeCell ref="P21:P22"/>
    <mergeCell ref="A8:A10"/>
    <mergeCell ref="S8:T8"/>
    <mergeCell ref="Y8:Z8"/>
    <mergeCell ref="K8:L8"/>
    <mergeCell ref="C8:D8"/>
    <mergeCell ref="W8:X8"/>
    <mergeCell ref="G8:H8"/>
    <mergeCell ref="Q8:R8"/>
    <mergeCell ref="O8:P8"/>
    <mergeCell ref="E8:F8"/>
    <mergeCell ref="Q20:S20"/>
    <mergeCell ref="T20:V20"/>
    <mergeCell ref="H21:I22"/>
    <mergeCell ref="G21:G22"/>
    <mergeCell ref="K21:L22"/>
    <mergeCell ref="M21:M22"/>
    <mergeCell ref="N21:O22"/>
    <mergeCell ref="Q21:R22"/>
    <mergeCell ref="J21:J22"/>
    <mergeCell ref="Q23:R23"/>
    <mergeCell ref="T23:U23"/>
    <mergeCell ref="Q29:R29"/>
    <mergeCell ref="T29:U29"/>
    <mergeCell ref="Q24:R24"/>
    <mergeCell ref="T24:U24"/>
    <mergeCell ref="Q28:R28"/>
    <mergeCell ref="T28:U28"/>
    <mergeCell ref="Q26:R26"/>
    <mergeCell ref="T26:U26"/>
    <mergeCell ref="Q25:R25"/>
    <mergeCell ref="T25:U25"/>
    <mergeCell ref="W29:X29"/>
    <mergeCell ref="K27:L27"/>
    <mergeCell ref="N27:O27"/>
    <mergeCell ref="Q27:R27"/>
    <mergeCell ref="T27:U27"/>
    <mergeCell ref="W27:X27"/>
    <mergeCell ref="W28:X28"/>
    <mergeCell ref="H29:I29"/>
    <mergeCell ref="K29:L29"/>
    <mergeCell ref="N29:O29"/>
    <mergeCell ref="K28:L28"/>
    <mergeCell ref="N28:O28"/>
    <mergeCell ref="K24:L24"/>
    <mergeCell ref="N24:O24"/>
    <mergeCell ref="I8:J8"/>
    <mergeCell ref="K26:L26"/>
    <mergeCell ref="N26:O26"/>
    <mergeCell ref="H23:I23"/>
    <mergeCell ref="K23:L23"/>
    <mergeCell ref="N23:O23"/>
    <mergeCell ref="H20:J20"/>
    <mergeCell ref="K20:M20"/>
    <mergeCell ref="N20:P20"/>
    <mergeCell ref="K25:L25"/>
    <mergeCell ref="N25:O25"/>
    <mergeCell ref="H27:I27"/>
    <mergeCell ref="H28:I28"/>
    <mergeCell ref="H25:I25"/>
    <mergeCell ref="H26:I26"/>
    <mergeCell ref="H24:I24"/>
    <mergeCell ref="Z20:AB20"/>
    <mergeCell ref="Z21:AA22"/>
    <mergeCell ref="AB21:AB22"/>
    <mergeCell ref="Z23:AA23"/>
    <mergeCell ref="Z24:AA24"/>
    <mergeCell ref="Z25:AA25"/>
    <mergeCell ref="Z26:AA26"/>
    <mergeCell ref="Z27:AA27"/>
    <mergeCell ref="Z28:AA28"/>
    <mergeCell ref="Z29:AA29"/>
  </mergeCells>
  <phoneticPr fontId="0" type="noConversion"/>
  <printOptions horizontalCentered="1"/>
  <pageMargins left="0" right="0" top="0.74803149606299213" bottom="0.74803149606299213" header="0.31496062992125984" footer="0.31496062992125984"/>
  <pageSetup paperSize="9" scale="72" orientation="landscape" useFirstPageNumber="1" r:id="rId1"/>
  <headerFooter>
    <oddHeader>&amp;L&amp;"Trebuchet MS,Negrito"&amp;12&amp;K01+014AGRUPAMENTO DE ESCOLAS MIGUEL TORGA&amp;C
&amp;R&amp;"Trebuchet MS,Negrito itálico"&amp;12AUTOAVALIAÇÃO
3ºPeríodo  2012/13
Tabela VIII</oddHeader>
    <oddFooter>&amp;C
&amp;R9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40</vt:i4>
      </vt:variant>
      <vt:variant>
        <vt:lpstr>Intervalos com nome</vt:lpstr>
      </vt:variant>
      <vt:variant>
        <vt:i4>4</vt:i4>
      </vt:variant>
    </vt:vector>
  </HeadingPairs>
  <TitlesOfParts>
    <vt:vector size="44" baseType="lpstr">
      <vt:lpstr>INDICE</vt:lpstr>
      <vt:lpstr>I-JI</vt:lpstr>
      <vt:lpstr>II-1º ANO</vt:lpstr>
      <vt:lpstr>III-2º ANO</vt:lpstr>
      <vt:lpstr>IV-3º ANO</vt:lpstr>
      <vt:lpstr>V-4º ANO</vt:lpstr>
      <vt:lpstr>VI-5º ANO</vt:lpstr>
      <vt:lpstr>VII-6º ANO</vt:lpstr>
      <vt:lpstr>VIII-7º ANO</vt:lpstr>
      <vt:lpstr>IX-8º ANO</vt:lpstr>
      <vt:lpstr>X-9º ANO</vt:lpstr>
      <vt:lpstr>XI-CEF'S</vt:lpstr>
      <vt:lpstr>XII-RESUMO</vt:lpstr>
      <vt:lpstr>XII-SUCESSO por Ano-Escola</vt:lpstr>
      <vt:lpstr>XIII-SUCESSO-Ano-Disciplina</vt:lpstr>
      <vt:lpstr>XIV-Progressão s negativas</vt:lpstr>
      <vt:lpstr>XV-DISCIPLINAS +50%</vt:lpstr>
      <vt:lpstr>XVI-COMPARATIVO-SUCESSO-Ano</vt:lpstr>
      <vt:lpstr>XVII-SUCESSO-Escolas</vt:lpstr>
      <vt:lpstr>XVIII-F. MATERIAL e PIT</vt:lpstr>
      <vt:lpstr>XIV-PAPs,ExcFaltas,Aband,sem Ne</vt:lpstr>
      <vt:lpstr>XV-(IN)DISCIPLINA</vt:lpstr>
      <vt:lpstr>XV-INDISCIPLINA</vt:lpstr>
      <vt:lpstr>XX-METAS PAA</vt:lpstr>
      <vt:lpstr>XXI-METAS TEIP</vt:lpstr>
      <vt:lpstr>XVI-ASSESSORIAS</vt:lpstr>
      <vt:lpstr>XXIII-NUCLEOS</vt:lpstr>
      <vt:lpstr>XXIV-AEC</vt:lpstr>
      <vt:lpstr>XXV-EE Global</vt:lpstr>
      <vt:lpstr>XXVI-EE-JI e 1º Ciclo</vt:lpstr>
      <vt:lpstr>XXVII-EE 2º Ciclo</vt:lpstr>
      <vt:lpstr>XXVIII-EE 3º Ciclo</vt:lpstr>
      <vt:lpstr>XXIX-PLNM e APA</vt:lpstr>
      <vt:lpstr>XXX-CONTEÚDOS</vt:lpstr>
      <vt:lpstr>XXXI-ASE</vt:lpstr>
      <vt:lpstr>XXXII-Av. Extraordinária</vt:lpstr>
      <vt:lpstr>XXXIII-Q. Excelência e Valor</vt:lpstr>
      <vt:lpstr>XXXV-Exames</vt:lpstr>
      <vt:lpstr>XXXIV-Comparativo Exames</vt:lpstr>
      <vt:lpstr>XXXVI-BE</vt:lpstr>
      <vt:lpstr>'IX-8º ANO'!Área_de_Impressão</vt:lpstr>
      <vt:lpstr>'XIV-PAPs,ExcFaltas,Aband,sem Ne'!Área_de_Impressão</vt:lpstr>
      <vt:lpstr>'XVI-ASSESSORIAS'!Área_de_Impressão</vt:lpstr>
      <vt:lpstr>'XV-INDISCIPLINA'!Área_de_Impressão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Jocha</cp:lastModifiedBy>
  <cp:lastPrinted>2013-06-28T08:53:54Z</cp:lastPrinted>
  <dcterms:created xsi:type="dcterms:W3CDTF">2007-10-24T12:52:47Z</dcterms:created>
  <dcterms:modified xsi:type="dcterms:W3CDTF">2016-09-21T20:03:48Z</dcterms:modified>
</cp:coreProperties>
</file>